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<sst xmlns="http://schemas.openxmlformats.org/spreadsheetml/2006/main" count="156" uniqueCount="111">
  <si>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</si>
  <si>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</si>
  <si>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</si>
  <si>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</si>
  <si>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</si>
  <si>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</si>
  <si>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</si>
  <si>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</si>
  <si>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</si>
  <si>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</si>
  <si>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</si>
  <si>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</si>
  <si>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</si>
  <si>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</si>
  <si>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</si>
  <si>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</si>
  <si>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</si>
  <si>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</si>
  <si>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</si>
  <si>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</si>
  <si>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</si>
  <si>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</si>
  <si>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</si>
  <si>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</si>
  <si>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</si>
  <si>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</si>
  <si>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</si>
  <si>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</si>
  <si>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</si>
  <si>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</si>
  <si>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</si>
  <si>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</si>
  <si>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</si>
  <si>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</si>
  <si>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</si>
  <si>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</si>
  <si>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</si>
  <si>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</si>
  <si>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</si>
  <si>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</si>
  <si>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</si>
  <si>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</si>
  <si>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</si>
  <si>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</si>
  <si>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</si>
  <si>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</si>
  <si>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</si>
  <si>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</si>
  <si>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</si>
  <si>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</si>
  <si>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</si>
  <si>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</si>
  <si>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</si>
  <si>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</si>
  <si>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</si>
  <si>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</si>
  <si>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</si>
  <si>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</si>
  <si>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</si>
  <si>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</si>
  <si>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</si>
  <si>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</si>
  <si>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</si>
  <si>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</si>
  <si>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</si>
  <si>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</si>
  <si>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</si>
  <si>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</si>
  <si>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</si>
  <si>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</si>
  <si>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</si>
  <si>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</si>
  <si>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</si>
  <si>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</si>
  <si>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</si>
  <si>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</si>
  <si>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</si>
  <si>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</si>
  <si>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</si>
  <si>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</si>
  <si>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</si>
  <si>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</si>
  <si>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</si>
  <si>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</si>
  <si>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</si>
  <si>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</si>
  <si>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</si>
  <si>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</si>
  <si>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</si>
  <si>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</si>
  <si>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</si>
  <si>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</si>
  <si>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</si>
  <si>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</si>
  <si>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</si>
  <si>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</si>
  <si>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</si>
  <si>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</si>
  <si>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</si>
  <si>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</si>
  <si>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</si>
  <si>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</si>
  <si>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</si>
  <si>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</si>
  <si>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</si>
  <si>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</si>
  <si>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</si>
  <si>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</si>
  <si>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</si>
  <si>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</si>
  <si>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міського бюджету за 2014 рік станом на 31.05.2014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</si>
</sst>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0" borderId="10" xfId="0" applyNumberFormat="1" applyFont="1" applyFill="1" applyBorder="1" applyAlignment="1">
      <alignment/>
    </xf>
    <xf numFmtId="189" fontId="62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16128.3</c:v>
                </c:pt>
                <c:pt idx="1">
                  <c:v>13606.699999999999</c:v>
                </c:pt>
                <c:pt idx="2">
                  <c:v>960.3</c:v>
                </c:pt>
                <c:pt idx="3">
                  <c:v>1561.3000000000004</c:v>
                </c:pt>
              </c:numCache>
            </c:numRef>
          </c:val>
          <c:shape val="box"/>
        </c:ser>
        <c:shape val="box"/>
        <c:axId val="63039116"/>
        <c:axId val="30481133"/>
      </c:bar3DChart>
      <c:catAx>
        <c:axId val="63039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481133"/>
        <c:crosses val="autoZero"/>
        <c:auto val="1"/>
        <c:lblOffset val="100"/>
        <c:tickLblSkip val="1"/>
        <c:noMultiLvlLbl val="0"/>
      </c:catAx>
      <c:valAx>
        <c:axId val="304811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391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104237.1</c:v>
                </c:pt>
                <c:pt idx="1">
                  <c:v>81582.7</c:v>
                </c:pt>
                <c:pt idx="2">
                  <c:v>7.200000000000001</c:v>
                </c:pt>
                <c:pt idx="3">
                  <c:v>7171.200000000001</c:v>
                </c:pt>
                <c:pt idx="4">
                  <c:v>15147.699999999999</c:v>
                </c:pt>
                <c:pt idx="5">
                  <c:v>47.2</c:v>
                </c:pt>
                <c:pt idx="6">
                  <c:v>281.1000000000084</c:v>
                </c:pt>
              </c:numCache>
            </c:numRef>
          </c:val>
          <c:shape val="box"/>
        </c:ser>
        <c:shape val="box"/>
        <c:axId val="5894742"/>
        <c:axId val="53052679"/>
      </c:bar3DChart>
      <c:catAx>
        <c:axId val="5894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052679"/>
        <c:crosses val="autoZero"/>
        <c:auto val="1"/>
        <c:lblOffset val="100"/>
        <c:tickLblSkip val="1"/>
        <c:noMultiLvlLbl val="0"/>
      </c:catAx>
      <c:valAx>
        <c:axId val="530526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47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69071.8</c:v>
                </c:pt>
                <c:pt idx="1">
                  <c:v>54990.59999999999</c:v>
                </c:pt>
                <c:pt idx="2">
                  <c:v>1624.9999999999998</c:v>
                </c:pt>
                <c:pt idx="3">
                  <c:v>876.9</c:v>
                </c:pt>
                <c:pt idx="4">
                  <c:v>6464.200000000001</c:v>
                </c:pt>
                <c:pt idx="5">
                  <c:v>598.6999999999999</c:v>
                </c:pt>
                <c:pt idx="6">
                  <c:v>4516.4000000000115</c:v>
                </c:pt>
              </c:numCache>
            </c:numRef>
          </c:val>
          <c:shape val="box"/>
        </c:ser>
        <c:shape val="box"/>
        <c:axId val="7712064"/>
        <c:axId val="2299713"/>
      </c:bar3DChart>
      <c:catAx>
        <c:axId val="7712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99713"/>
        <c:crosses val="autoZero"/>
        <c:auto val="1"/>
        <c:lblOffset val="100"/>
        <c:tickLblSkip val="1"/>
        <c:noMultiLvlLbl val="0"/>
      </c:catAx>
      <c:valAx>
        <c:axId val="22997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120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1732.8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6837.500000000003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13352.700000000003</c:v>
                </c:pt>
                <c:pt idx="1">
                  <c:v>10020.9</c:v>
                </c:pt>
                <c:pt idx="2">
                  <c:v>610</c:v>
                </c:pt>
                <c:pt idx="3">
                  <c:v>170.1</c:v>
                </c:pt>
                <c:pt idx="4">
                  <c:v>14.4</c:v>
                </c:pt>
                <c:pt idx="5">
                  <c:v>2537.300000000003</c:v>
                </c:pt>
              </c:numCache>
            </c:numRef>
          </c:val>
          <c:shape val="box"/>
        </c:ser>
        <c:shape val="box"/>
        <c:axId val="20697418"/>
        <c:axId val="52059035"/>
      </c:bar3DChart>
      <c:catAx>
        <c:axId val="20697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059035"/>
        <c:crosses val="autoZero"/>
        <c:auto val="1"/>
        <c:lblOffset val="100"/>
        <c:tickLblSkip val="1"/>
        <c:noMultiLvlLbl val="0"/>
      </c:catAx>
      <c:valAx>
        <c:axId val="52059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974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4318</c:v>
                </c:pt>
                <c:pt idx="1">
                  <c:v>2797.1</c:v>
                </c:pt>
                <c:pt idx="3">
                  <c:v>51.300000000000004</c:v>
                </c:pt>
                <c:pt idx="4">
                  <c:v>201.29999999999995</c:v>
                </c:pt>
                <c:pt idx="5">
                  <c:v>1268.3000000000002</c:v>
                </c:pt>
              </c:numCache>
            </c:numRef>
          </c:val>
          <c:shape val="box"/>
        </c:ser>
        <c:shape val="box"/>
        <c:axId val="65878132"/>
        <c:axId val="56032277"/>
      </c:bar3DChart>
      <c:catAx>
        <c:axId val="6587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032277"/>
        <c:crosses val="autoZero"/>
        <c:auto val="1"/>
        <c:lblOffset val="100"/>
        <c:tickLblSkip val="2"/>
        <c:noMultiLvlLbl val="0"/>
      </c:catAx>
      <c:valAx>
        <c:axId val="56032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781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3018.8</c:v>
                </c:pt>
                <c:pt idx="1">
                  <c:v>1702</c:v>
                </c:pt>
                <c:pt idx="2">
                  <c:v>287.9</c:v>
                </c:pt>
                <c:pt idx="3">
                  <c:v>728.7</c:v>
                </c:pt>
                <c:pt idx="4">
                  <c:v>300.20000000000005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947.0000000000001</c:v>
                </c:pt>
                <c:pt idx="1">
                  <c:v>756.6</c:v>
                </c:pt>
                <c:pt idx="2">
                  <c:v>119.5</c:v>
                </c:pt>
                <c:pt idx="4">
                  <c:v>70.90000000000009</c:v>
                </c:pt>
              </c:numCache>
            </c:numRef>
          </c:val>
          <c:shape val="box"/>
        </c:ser>
        <c:shape val="box"/>
        <c:axId val="34528446"/>
        <c:axId val="42320559"/>
      </c:bar3DChart>
      <c:catAx>
        <c:axId val="34528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320559"/>
        <c:crosses val="autoZero"/>
        <c:auto val="1"/>
        <c:lblOffset val="100"/>
        <c:tickLblSkip val="1"/>
        <c:noMultiLvlLbl val="0"/>
      </c:catAx>
      <c:valAx>
        <c:axId val="423205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284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13102.100000000002</c:v>
                </c:pt>
              </c:numCache>
            </c:numRef>
          </c:val>
          <c:shape val="box"/>
        </c:ser>
        <c:shape val="box"/>
        <c:axId val="45340712"/>
        <c:axId val="5413225"/>
      </c:bar3DChart>
      <c:catAx>
        <c:axId val="45340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13225"/>
        <c:crosses val="autoZero"/>
        <c:auto val="1"/>
        <c:lblOffset val="100"/>
        <c:tickLblSkip val="1"/>
        <c:noMultiLvlLbl val="0"/>
      </c:catAx>
      <c:valAx>
        <c:axId val="54132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407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104237.1</c:v>
                </c:pt>
                <c:pt idx="1">
                  <c:v>69071.8</c:v>
                </c:pt>
                <c:pt idx="2">
                  <c:v>13352.700000000003</c:v>
                </c:pt>
                <c:pt idx="3">
                  <c:v>4318</c:v>
                </c:pt>
                <c:pt idx="4">
                  <c:v>947.0000000000001</c:v>
                </c:pt>
                <c:pt idx="5">
                  <c:v>16128.3</c:v>
                </c:pt>
                <c:pt idx="6">
                  <c:v>13102.100000000002</c:v>
                </c:pt>
              </c:numCache>
            </c:numRef>
          </c:val>
          <c:shape val="box"/>
        </c:ser>
        <c:shape val="box"/>
        <c:axId val="48719026"/>
        <c:axId val="35818051"/>
      </c:bar3DChart>
      <c:catAx>
        <c:axId val="48719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818051"/>
        <c:crosses val="autoZero"/>
        <c:auto val="1"/>
        <c:lblOffset val="100"/>
        <c:tickLblSkip val="1"/>
        <c:noMultiLvlLbl val="0"/>
      </c:catAx>
      <c:valAx>
        <c:axId val="35818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190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64923.3</c:v>
                </c:pt>
                <c:pt idx="2">
                  <c:v>20321.6</c:v>
                </c:pt>
                <c:pt idx="3">
                  <c:v>8015.1</c:v>
                </c:pt>
                <c:pt idx="4">
                  <c:v>7873.900000000001</c:v>
                </c:pt>
                <c:pt idx="5">
                  <c:v>92768.1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165935.7</c:v>
                </c:pt>
                <c:pt idx="1">
                  <c:v>23978.999999999996</c:v>
                </c:pt>
                <c:pt idx="2">
                  <c:v>8125.900000000001</c:v>
                </c:pt>
                <c:pt idx="3">
                  <c:v>2812.3000000000006</c:v>
                </c:pt>
                <c:pt idx="4">
                  <c:v>1632.1999999999998</c:v>
                </c:pt>
                <c:pt idx="5">
                  <c:v>29067.499999999993</c:v>
                </c:pt>
              </c:numCache>
            </c:numRef>
          </c:val>
          <c:shape val="box"/>
        </c:ser>
        <c:shape val="box"/>
        <c:axId val="53927004"/>
        <c:axId val="15580989"/>
      </c:bar3DChart>
      <c:catAx>
        <c:axId val="53927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580989"/>
        <c:crosses val="autoZero"/>
        <c:auto val="1"/>
        <c:lblOffset val="100"/>
        <c:tickLblSkip val="1"/>
        <c:noMultiLvlLbl val="0"/>
      </c:catAx>
      <c:valAx>
        <c:axId val="155809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270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1" t="s">
        <v>110</v>
      </c>
      <c r="B1" s="121"/>
      <c r="C1" s="121"/>
      <c r="D1" s="121"/>
      <c r="E1" s="121"/>
      <c r="F1" s="121"/>
      <c r="G1" s="121"/>
      <c r="H1" s="121"/>
      <c r="I1" s="121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5" t="s">
        <v>50</v>
      </c>
      <c r="B3" s="122" t="s">
        <v>107</v>
      </c>
      <c r="C3" s="122" t="s">
        <v>102</v>
      </c>
      <c r="D3" s="122" t="s">
        <v>29</v>
      </c>
      <c r="E3" s="122" t="s">
        <v>28</v>
      </c>
      <c r="F3" s="122" t="s">
        <v>108</v>
      </c>
      <c r="G3" s="122" t="s">
        <v>103</v>
      </c>
      <c r="H3" s="122" t="s">
        <v>109</v>
      </c>
      <c r="I3" s="122" t="s">
        <v>104</v>
      </c>
    </row>
    <row r="4" spans="1:9" ht="24.75" customHeight="1">
      <c r="A4" s="126"/>
      <c r="B4" s="123"/>
      <c r="C4" s="123"/>
      <c r="D4" s="123"/>
      <c r="E4" s="123"/>
      <c r="F4" s="123"/>
      <c r="G4" s="123"/>
      <c r="H4" s="123"/>
      <c r="I4" s="123"/>
    </row>
    <row r="5" spans="1:9" ht="39" customHeight="1" thickBot="1">
      <c r="A5" s="127"/>
      <c r="B5" s="124"/>
      <c r="C5" s="124"/>
      <c r="D5" s="124"/>
      <c r="E5" s="124"/>
      <c r="F5" s="124"/>
      <c r="G5" s="124"/>
      <c r="H5" s="124"/>
      <c r="I5" s="124"/>
    </row>
    <row r="6" spans="1:9" ht="18.75" thickBot="1">
      <c r="A6" s="30" t="s">
        <v>34</v>
      </c>
      <c r="B6" s="55">
        <v>139860.1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</f>
        <v>127804.60000000002</v>
      </c>
      <c r="E6" s="3">
        <f>D6/D134*100</f>
        <v>47.02223468254327</v>
      </c>
      <c r="F6" s="3">
        <f>D6/B6*100</f>
        <v>91.3803150433898</v>
      </c>
      <c r="G6" s="3">
        <f aca="true" t="shared" si="0" ref="G6:G41">D6/C6*100</f>
        <v>46.5831165243102</v>
      </c>
      <c r="H6" s="3">
        <f>B6-D6</f>
        <v>12055.499999999985</v>
      </c>
      <c r="I6" s="3">
        <f aca="true" t="shared" si="1" ref="I6:I41">C6-D6</f>
        <v>146553.59999999998</v>
      </c>
    </row>
    <row r="7" spans="1:9" ht="18">
      <c r="A7" s="31" t="s">
        <v>3</v>
      </c>
      <c r="B7" s="52">
        <v>106245.6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7985.1+61.4+9890.7+1.2+8129.6+806.2+1384.8+4074.5+2508.4-0.1+1256+5351+1046.8+1404.7+196.9+8063.3+1035+0.1+765.8+122.3+398.7+641.6+852.4+6947.2+10178.9+8480.2+21078.8</f>
        <v>102661.5</v>
      </c>
      <c r="E7" s="1">
        <f>D7/D6*100</f>
        <v>80.32692094024783</v>
      </c>
      <c r="F7" s="1">
        <f>D7/B7*100</f>
        <v>96.62658971289163</v>
      </c>
      <c r="G7" s="1">
        <f t="shared" si="0"/>
        <v>47.703983126809604</v>
      </c>
      <c r="H7" s="1">
        <f>B7-D7</f>
        <v>3584.100000000006</v>
      </c>
      <c r="I7" s="1">
        <f t="shared" si="1"/>
        <v>112543.80000000002</v>
      </c>
    </row>
    <row r="8" spans="1:9" ht="18">
      <c r="A8" s="31" t="s">
        <v>2</v>
      </c>
      <c r="B8" s="52">
        <v>23.4</v>
      </c>
      <c r="C8" s="53">
        <v>44.6</v>
      </c>
      <c r="D8" s="54">
        <f>0.1+0.1+0.3+0.3+2.7+0.7+1.1+1.4+0.5+0.7+1.7</f>
        <v>9.600000000000001</v>
      </c>
      <c r="E8" s="13">
        <f>D8/D6*100</f>
        <v>0.007511466723419971</v>
      </c>
      <c r="F8" s="1">
        <f>D8/B8*100</f>
        <v>41.025641025641036</v>
      </c>
      <c r="G8" s="1">
        <f t="shared" si="0"/>
        <v>21.52466367713005</v>
      </c>
      <c r="H8" s="1">
        <f aca="true" t="shared" si="2" ref="H8:H30">B8-D8</f>
        <v>13.799999999999997</v>
      </c>
      <c r="I8" s="1">
        <f t="shared" si="1"/>
        <v>35</v>
      </c>
    </row>
    <row r="9" spans="1:9" ht="18">
      <c r="A9" s="31" t="s">
        <v>1</v>
      </c>
      <c r="B9" s="52">
        <f>8162.7+88.6</f>
        <v>8251.3</v>
      </c>
      <c r="C9" s="53">
        <v>17103.7</v>
      </c>
      <c r="D9" s="58">
        <f>538.7+346.9+429.4+56.3+419.6+508.1+71-0.1+453.2+98.5+2.8+391.5+199.8+80.8+202.8+35.8+0.1+605.8+190.7+96.5+200+176+997.3+131.2+243.2+104+591.3+99.4+217.4+212.6+91.6-0.1</f>
        <v>7792.1</v>
      </c>
      <c r="E9" s="1">
        <f>D9/D6*100</f>
        <v>6.096885401620911</v>
      </c>
      <c r="F9" s="1">
        <f aca="true" t="shared" si="3" ref="F9:F39">D9/B9*100</f>
        <v>94.43481633197194</v>
      </c>
      <c r="G9" s="1">
        <f t="shared" si="0"/>
        <v>45.55797868297503</v>
      </c>
      <c r="H9" s="1">
        <f t="shared" si="2"/>
        <v>459.1999999999989</v>
      </c>
      <c r="I9" s="1">
        <f t="shared" si="1"/>
        <v>9311.6</v>
      </c>
    </row>
    <row r="10" spans="1:9" ht="18">
      <c r="A10" s="31" t="s">
        <v>0</v>
      </c>
      <c r="B10" s="52">
        <f>24290.4-88.6</f>
        <v>24201.800000000003</v>
      </c>
      <c r="C10" s="53">
        <v>39445.5</v>
      </c>
      <c r="D10" s="59">
        <f>1.1+76.7+36.7+34.9+18.5+42.2+88.1+82.5+80.9+400.1+1837.5+2957.3+365.3+150+4041.5+622.1+388.9+504.4+104+339.4+307.4+873.2+298.8+1030.7+5.1+301.4+159+4.7+44.9+145.5+1389.2+0.1</f>
        <v>16732.1</v>
      </c>
      <c r="E10" s="1">
        <f>D10/D6*100</f>
        <v>13.091938787805757</v>
      </c>
      <c r="F10" s="1">
        <f t="shared" si="3"/>
        <v>69.13576676114998</v>
      </c>
      <c r="G10" s="1">
        <f t="shared" si="0"/>
        <v>42.418273313812726</v>
      </c>
      <c r="H10" s="1">
        <f t="shared" si="2"/>
        <v>7469.700000000004</v>
      </c>
      <c r="I10" s="1">
        <f t="shared" si="1"/>
        <v>22713.4</v>
      </c>
    </row>
    <row r="11" spans="1:9" ht="18">
      <c r="A11" s="31" t="s">
        <v>15</v>
      </c>
      <c r="B11" s="52">
        <v>195.9</v>
      </c>
      <c r="C11" s="53">
        <v>281.8</v>
      </c>
      <c r="D11" s="54">
        <f>4+4+12.7+4+4+14.5+4+115.8</f>
        <v>163</v>
      </c>
      <c r="E11" s="1">
        <f>D11/D6*100</f>
        <v>0.12753844540806825</v>
      </c>
      <c r="F11" s="1">
        <f t="shared" si="3"/>
        <v>83.20571720265441</v>
      </c>
      <c r="G11" s="1">
        <f t="shared" si="0"/>
        <v>57.84244144783535</v>
      </c>
      <c r="H11" s="1">
        <f t="shared" si="2"/>
        <v>32.900000000000006</v>
      </c>
      <c r="I11" s="1">
        <f t="shared" si="1"/>
        <v>118.80000000000001</v>
      </c>
    </row>
    <row r="12" spans="1:9" ht="18.75" thickBot="1">
      <c r="A12" s="31" t="s">
        <v>35</v>
      </c>
      <c r="B12" s="53">
        <f>B6-B7-B8-B9-B10-B11</f>
        <v>942.0999999999964</v>
      </c>
      <c r="C12" s="53">
        <f>C6-C7-C8-C9-C10-C11</f>
        <v>2277.299999999991</v>
      </c>
      <c r="D12" s="53">
        <f>D6-D7-D8-D9-D10-D11</f>
        <v>446.30000000002474</v>
      </c>
      <c r="E12" s="1">
        <f>D12/D6*100</f>
        <v>0.3492049581940123</v>
      </c>
      <c r="F12" s="1">
        <f t="shared" si="3"/>
        <v>47.37289035134555</v>
      </c>
      <c r="G12" s="1">
        <f t="shared" si="0"/>
        <v>19.59776928819332</v>
      </c>
      <c r="H12" s="1">
        <f t="shared" si="2"/>
        <v>495.79999999997165</v>
      </c>
      <c r="I12" s="1">
        <f t="shared" si="1"/>
        <v>1830.9999999999663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f>86527.4+116.8</f>
        <v>86644.2</v>
      </c>
      <c r="C17" s="56">
        <f>176050.5+1395.7+321.5</f>
        <v>177767.7</v>
      </c>
      <c r="D17" s="57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</f>
        <v>79285.5</v>
      </c>
      <c r="E17" s="3">
        <f>D17/D134*100</f>
        <v>29.17094836901633</v>
      </c>
      <c r="F17" s="3">
        <f>D17/B17*100</f>
        <v>91.50699065834759</v>
      </c>
      <c r="G17" s="3">
        <f t="shared" si="0"/>
        <v>44.60062204776233</v>
      </c>
      <c r="H17" s="3">
        <f>B17-D17</f>
        <v>7358.699999999997</v>
      </c>
      <c r="I17" s="3">
        <f t="shared" si="1"/>
        <v>98482.20000000001</v>
      </c>
    </row>
    <row r="18" spans="1:9" ht="18">
      <c r="A18" s="31" t="s">
        <v>5</v>
      </c>
      <c r="B18" s="52">
        <v>65031.2</v>
      </c>
      <c r="C18" s="53">
        <f>133077.8+325.7</f>
        <v>133403.5</v>
      </c>
      <c r="D18" s="54">
        <f>5127.2+6545.1+310.1+0.1+5190.4+6767.1+5380.4+556.1+6698.2+26.3+5454.2+14.7+1807.4+5633.7-0.1+5479.7+8333.7+0.1</f>
        <v>63324.39999999999</v>
      </c>
      <c r="E18" s="1">
        <f>D18/D17*100</f>
        <v>79.86882847431117</v>
      </c>
      <c r="F18" s="1">
        <f t="shared" si="3"/>
        <v>97.37541364760298</v>
      </c>
      <c r="G18" s="1">
        <f t="shared" si="0"/>
        <v>47.46831979670698</v>
      </c>
      <c r="H18" s="1">
        <f t="shared" si="2"/>
        <v>1706.8000000000102</v>
      </c>
      <c r="I18" s="1">
        <f t="shared" si="1"/>
        <v>70079.1</v>
      </c>
    </row>
    <row r="19" spans="1:9" ht="18">
      <c r="A19" s="31" t="s">
        <v>2</v>
      </c>
      <c r="B19" s="52">
        <f>3528.4-43.4-72.4</f>
        <v>3412.6</v>
      </c>
      <c r="C19" s="53">
        <f>7565.3-5.5+258.8</f>
        <v>7818.6</v>
      </c>
      <c r="D19" s="54">
        <f>15+99.7+173.8+0.6+107.5+22.1+0.5+193.8+202.2+7.6+0.9+0.4+198.3+0.9+0.9+95.5+0.1+279.3+38.4+83.3+46.9+46.6+4.1+6.6+39.1+95.6</f>
        <v>1759.6999999999996</v>
      </c>
      <c r="E19" s="1">
        <f>D19/D17*100</f>
        <v>2.2194474399480355</v>
      </c>
      <c r="F19" s="1">
        <f t="shared" si="3"/>
        <v>51.56478931020335</v>
      </c>
      <c r="G19" s="1">
        <f t="shared" si="0"/>
        <v>22.50658685698206</v>
      </c>
      <c r="H19" s="1">
        <f t="shared" si="2"/>
        <v>1652.9000000000003</v>
      </c>
      <c r="I19" s="1">
        <f t="shared" si="1"/>
        <v>6058.900000000001</v>
      </c>
    </row>
    <row r="20" spans="1:9" ht="18">
      <c r="A20" s="31" t="s">
        <v>1</v>
      </c>
      <c r="B20" s="52">
        <v>1129.8</v>
      </c>
      <c r="C20" s="53">
        <v>2836.6</v>
      </c>
      <c r="D20" s="54">
        <f>50.7+162.6+43.4+2.3+47.2+1.8+59.1-0.1+62.8+64.5+13.9+16.6+5.7+70.4+205+17+53.6+0.4+52.9+123.3+33.6</f>
        <v>1086.6999999999998</v>
      </c>
      <c r="E20" s="1">
        <f>D20/D17*100</f>
        <v>1.3706163169810366</v>
      </c>
      <c r="F20" s="1">
        <f t="shared" si="3"/>
        <v>96.18516551602052</v>
      </c>
      <c r="G20" s="1">
        <f t="shared" si="0"/>
        <v>38.309948529930196</v>
      </c>
      <c r="H20" s="1">
        <f t="shared" si="2"/>
        <v>43.100000000000136</v>
      </c>
      <c r="I20" s="1">
        <f t="shared" si="1"/>
        <v>1749.9</v>
      </c>
    </row>
    <row r="21" spans="1:9" ht="18">
      <c r="A21" s="31" t="s">
        <v>0</v>
      </c>
      <c r="B21" s="52">
        <f>9059.8+31.9+72.4</f>
        <v>9164.099999999999</v>
      </c>
      <c r="C21" s="53">
        <f>19349.6+4</f>
        <v>19353.6</v>
      </c>
      <c r="D21" s="54">
        <f>36.6+15.7+3.3+2+290.1+4.1+24.2+41.8-0.1+460.8+0.9+2.5+257.9+361.7+1303.2+901+0.2+255.3+105.4+1050+1256.6+91+115.9+147.7+464.8</f>
        <v>7192.6</v>
      </c>
      <c r="E21" s="1">
        <f>D21/D17*100</f>
        <v>9.07177226605117</v>
      </c>
      <c r="F21" s="1">
        <f t="shared" si="3"/>
        <v>78.48670354972121</v>
      </c>
      <c r="G21" s="1">
        <f t="shared" si="0"/>
        <v>37.16414517195767</v>
      </c>
      <c r="H21" s="1">
        <f t="shared" si="2"/>
        <v>1971.4999999999982</v>
      </c>
      <c r="I21" s="1">
        <f t="shared" si="1"/>
        <v>12160.999999999998</v>
      </c>
    </row>
    <row r="22" spans="1:9" ht="18">
      <c r="A22" s="31" t="s">
        <v>15</v>
      </c>
      <c r="B22" s="52">
        <f>615.7+8.9</f>
        <v>624.6</v>
      </c>
      <c r="C22" s="53">
        <v>1388.5</v>
      </c>
      <c r="D22" s="54">
        <f>14.2+80.1+19.7+105+3.5+1.3+30+84.1+0.1+72.2+54.8+15.1+59.3+59.3+8.9</f>
        <v>607.5999999999999</v>
      </c>
      <c r="E22" s="1">
        <f>D22/D17*100</f>
        <v>0.76634441354346</v>
      </c>
      <c r="F22" s="1">
        <f t="shared" si="3"/>
        <v>97.2782580851745</v>
      </c>
      <c r="G22" s="1">
        <f t="shared" si="0"/>
        <v>43.75945264674108</v>
      </c>
      <c r="H22" s="1">
        <f t="shared" si="2"/>
        <v>17.000000000000114</v>
      </c>
      <c r="I22" s="1">
        <f t="shared" si="1"/>
        <v>780.9000000000001</v>
      </c>
    </row>
    <row r="23" spans="1:9" ht="18.75" thickBot="1">
      <c r="A23" s="31" t="s">
        <v>35</v>
      </c>
      <c r="B23" s="53">
        <f>B17-B18-B19-B20-B21-B22</f>
        <v>7281.900000000003</v>
      </c>
      <c r="C23" s="53">
        <f>C17-C18-C19-C20-C21-C22</f>
        <v>12966.900000000016</v>
      </c>
      <c r="D23" s="53">
        <f>D17-D18-D19-D20-D21-D22</f>
        <v>5314.500000000015</v>
      </c>
      <c r="E23" s="1">
        <f>D23/D17*100</f>
        <v>6.702991089165124</v>
      </c>
      <c r="F23" s="1">
        <f t="shared" si="3"/>
        <v>72.9823260412806</v>
      </c>
      <c r="G23" s="1">
        <f t="shared" si="0"/>
        <v>40.98512366101387</v>
      </c>
      <c r="H23" s="1">
        <f t="shared" si="2"/>
        <v>1967.3999999999887</v>
      </c>
      <c r="I23" s="1">
        <f t="shared" si="1"/>
        <v>7652.4000000000015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16231.9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</f>
        <v>14863.000000000004</v>
      </c>
      <c r="E31" s="3">
        <f>D31/D134*100</f>
        <v>5.468437553003889</v>
      </c>
      <c r="F31" s="3">
        <f>D31/B31*100</f>
        <v>91.56660649708293</v>
      </c>
      <c r="G31" s="3">
        <f t="shared" si="0"/>
        <v>39.60741676393309</v>
      </c>
      <c r="H31" s="3">
        <f aca="true" t="shared" si="4" ref="H31:H41">B31-D31</f>
        <v>1368.899999999996</v>
      </c>
      <c r="I31" s="3">
        <f t="shared" si="1"/>
        <v>22662.8</v>
      </c>
    </row>
    <row r="32" spans="1:9" ht="18">
      <c r="A32" s="31" t="s">
        <v>3</v>
      </c>
      <c r="B32" s="52">
        <v>11474.5</v>
      </c>
      <c r="C32" s="53">
        <f>28976.1-761.1</f>
        <v>28215</v>
      </c>
      <c r="D32" s="54">
        <f>1119.5+1121.1+1039.4+104.2+1079.5+1133.4+1048+1163.9+1081.6+1130.3+1238-0.1</f>
        <v>11258.8</v>
      </c>
      <c r="E32" s="1">
        <f>D32/D31*100</f>
        <v>75.75052142905199</v>
      </c>
      <c r="F32" s="1">
        <f t="shared" si="3"/>
        <v>98.12017952851976</v>
      </c>
      <c r="G32" s="1">
        <f t="shared" si="0"/>
        <v>39.903597377281585</v>
      </c>
      <c r="H32" s="1">
        <f t="shared" si="4"/>
        <v>215.70000000000073</v>
      </c>
      <c r="I32" s="1">
        <f t="shared" si="1"/>
        <v>16956.2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f>982.9+0.2</f>
        <v>983.1</v>
      </c>
      <c r="C34" s="53">
        <f>1732.8+0.4</f>
        <v>1733.2</v>
      </c>
      <c r="D34" s="54">
        <f>1+2.5+0.8+6+1.4+0.1+11.2+0.5+6.3-0.2+32.4+6.9+2.4+3.4+18.4+48+143.7+198.6+32.7+71.3+22.6+9.9+48</f>
        <v>667.9</v>
      </c>
      <c r="E34" s="1">
        <f>D34/D31*100</f>
        <v>4.493709210791899</v>
      </c>
      <c r="F34" s="1">
        <f t="shared" si="3"/>
        <v>67.93815481639712</v>
      </c>
      <c r="G34" s="1">
        <f t="shared" si="0"/>
        <v>38.53565658896838</v>
      </c>
      <c r="H34" s="1">
        <f t="shared" si="4"/>
        <v>315.20000000000005</v>
      </c>
      <c r="I34" s="1">
        <f t="shared" si="1"/>
        <v>1065.3000000000002</v>
      </c>
    </row>
    <row r="35" spans="1:9" s="47" customFormat="1" ht="18.75">
      <c r="A35" s="25" t="s">
        <v>7</v>
      </c>
      <c r="B35" s="61">
        <v>407.4</v>
      </c>
      <c r="C35" s="62">
        <v>715.3</v>
      </c>
      <c r="D35" s="63">
        <f>38.5+5.5+3+4.5+22.1+25.5+8.2+45.3+17.5+1+24</f>
        <v>195.1</v>
      </c>
      <c r="E35" s="21">
        <f>D35/D31*100</f>
        <v>1.3126555877010022</v>
      </c>
      <c r="F35" s="21">
        <f t="shared" si="3"/>
        <v>47.889052528227786</v>
      </c>
      <c r="G35" s="21">
        <f t="shared" si="0"/>
        <v>27.275269117852652</v>
      </c>
      <c r="H35" s="21">
        <f t="shared" si="4"/>
        <v>212.29999999999998</v>
      </c>
      <c r="I35" s="21">
        <f t="shared" si="1"/>
        <v>520.1999999999999</v>
      </c>
    </row>
    <row r="36" spans="1:9" ht="18">
      <c r="A36" s="31" t="s">
        <v>15</v>
      </c>
      <c r="B36" s="52">
        <f>38-20</f>
        <v>18</v>
      </c>
      <c r="C36" s="53">
        <f>45.2-20</f>
        <v>25.200000000000003</v>
      </c>
      <c r="D36" s="53">
        <f>3.6+3.6+7.2+3.6</f>
        <v>18</v>
      </c>
      <c r="E36" s="1">
        <f>D36/D31*100</f>
        <v>0.12110610240193766</v>
      </c>
      <c r="F36" s="1">
        <f t="shared" si="3"/>
        <v>100</v>
      </c>
      <c r="G36" s="1">
        <f t="shared" si="0"/>
        <v>71.42857142857142</v>
      </c>
      <c r="H36" s="1">
        <f t="shared" si="4"/>
        <v>0</v>
      </c>
      <c r="I36" s="1">
        <f t="shared" si="1"/>
        <v>7.200000000000003</v>
      </c>
    </row>
    <row r="37" spans="1:9" ht="18.75" thickBot="1">
      <c r="A37" s="31" t="s">
        <v>35</v>
      </c>
      <c r="B37" s="52">
        <f>B31-B32-B34-B35-B33-B36</f>
        <v>3348.8999999999996</v>
      </c>
      <c r="C37" s="52">
        <f>C31-C32-C34-C35-C33-C36</f>
        <v>6837.100000000003</v>
      </c>
      <c r="D37" s="52">
        <f>D31-D32-D34-D35-D33-D36</f>
        <v>2723.2000000000044</v>
      </c>
      <c r="E37" s="1">
        <f>D37/D31*100</f>
        <v>18.32200767005318</v>
      </c>
      <c r="F37" s="1">
        <f t="shared" si="3"/>
        <v>81.31625309803233</v>
      </c>
      <c r="G37" s="1">
        <f t="shared" si="0"/>
        <v>39.82975238039524</v>
      </c>
      <c r="H37" s="1">
        <f>B37-D37</f>
        <v>625.6999999999953</v>
      </c>
      <c r="I37" s="1">
        <f t="shared" si="1"/>
        <v>4113.899999999999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499.9</v>
      </c>
      <c r="C41" s="56">
        <f>1079.9+40.7</f>
        <v>1120.6000000000001</v>
      </c>
      <c r="D41" s="57">
        <f>39.9+10-0.1+63.8+32.1+23.9+51.2+20.3</f>
        <v>241.10000000000002</v>
      </c>
      <c r="E41" s="3">
        <f>D41/D134*100</f>
        <v>0.08870620292196982</v>
      </c>
      <c r="F41" s="3">
        <f>D41/B41*100</f>
        <v>48.22964592918584</v>
      </c>
      <c r="G41" s="3">
        <f t="shared" si="0"/>
        <v>21.515259682313044</v>
      </c>
      <c r="H41" s="3">
        <f t="shared" si="4"/>
        <v>258.79999999999995</v>
      </c>
      <c r="I41" s="3">
        <f t="shared" si="1"/>
        <v>879.5000000000001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2593</v>
      </c>
      <c r="C43" s="56">
        <f>6105.1+0.1</f>
        <v>6105.200000000001</v>
      </c>
      <c r="D43" s="57">
        <f>179.7+225.2+3.4+199.4+211.8+7.4+5.4+7.6+190.5+3.4+230.5+100.1+236.3+13.2+11.9+20.5+199.9+0.1+2+33.2+238.5+1.1+16.6+248.3+10.5</f>
        <v>2396.5</v>
      </c>
      <c r="E43" s="3">
        <f>D43/D134*100</f>
        <v>0.8817271476669459</v>
      </c>
      <c r="F43" s="3">
        <f>D43/B43*100</f>
        <v>92.42190512919399</v>
      </c>
      <c r="G43" s="3">
        <f aca="true" t="shared" si="5" ref="G43:G73">D43/C43*100</f>
        <v>39.25342331127563</v>
      </c>
      <c r="H43" s="3">
        <f>B43-D43</f>
        <v>196.5</v>
      </c>
      <c r="I43" s="3">
        <f aca="true" t="shared" si="6" ref="I43:I74">C43-D43</f>
        <v>3708.7000000000007</v>
      </c>
    </row>
    <row r="44" spans="1:9" ht="18">
      <c r="A44" s="31" t="s">
        <v>3</v>
      </c>
      <c r="B44" s="52">
        <v>2137.1</v>
      </c>
      <c r="C44" s="53">
        <f>5484.1-124.7</f>
        <v>5359.400000000001</v>
      </c>
      <c r="D44" s="54">
        <f>179.7+201.3+187+211.8+190.5+230.5+236.3+199.9+0.1+218.5+248.3</f>
        <v>2103.9</v>
      </c>
      <c r="E44" s="1">
        <f>D44/D43*100</f>
        <v>87.79052785311914</v>
      </c>
      <c r="F44" s="1">
        <f aca="true" t="shared" si="7" ref="F44:F71">D44/B44*100</f>
        <v>98.4464929109541</v>
      </c>
      <c r="G44" s="1">
        <f t="shared" si="5"/>
        <v>39.25626002910773</v>
      </c>
      <c r="H44" s="1">
        <f aca="true" t="shared" si="8" ref="H44:H71">B44-D44</f>
        <v>33.19999999999982</v>
      </c>
      <c r="I44" s="1">
        <f t="shared" si="6"/>
        <v>3255.5000000000005</v>
      </c>
    </row>
    <row r="45" spans="1:9" ht="18">
      <c r="A45" s="31" t="s">
        <v>2</v>
      </c>
      <c r="B45" s="52">
        <v>0.6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0.6</v>
      </c>
      <c r="I45" s="1">
        <f t="shared" si="6"/>
        <v>1</v>
      </c>
    </row>
    <row r="46" spans="1:9" ht="18">
      <c r="A46" s="31" t="s">
        <v>1</v>
      </c>
      <c r="B46" s="52">
        <v>14.4</v>
      </c>
      <c r="C46" s="53">
        <v>35.1</v>
      </c>
      <c r="D46" s="54">
        <f>3.2+3.4-0.1+3.7+3.6</f>
        <v>13.799999999999999</v>
      </c>
      <c r="E46" s="1">
        <f>D46/D43*100</f>
        <v>0.5758397663258918</v>
      </c>
      <c r="F46" s="1">
        <f t="shared" si="7"/>
        <v>95.83333333333333</v>
      </c>
      <c r="G46" s="1">
        <f t="shared" si="5"/>
        <v>39.31623931623931</v>
      </c>
      <c r="H46" s="1">
        <f t="shared" si="8"/>
        <v>0.6000000000000014</v>
      </c>
      <c r="I46" s="1">
        <f t="shared" si="6"/>
        <v>21.300000000000004</v>
      </c>
    </row>
    <row r="47" spans="1:9" ht="18">
      <c r="A47" s="31" t="s">
        <v>0</v>
      </c>
      <c r="B47" s="52">
        <v>260.3</v>
      </c>
      <c r="C47" s="53">
        <f>358+23.1</f>
        <v>381.1</v>
      </c>
      <c r="D47" s="54">
        <f>23.1+2.7+0.5+0.4+5.2+0.6+99.9+12.6+20.5-0.1+2+19.6+1.1+0.5</f>
        <v>188.6</v>
      </c>
      <c r="E47" s="1">
        <f>D47/D43*100</f>
        <v>7.869810139787189</v>
      </c>
      <c r="F47" s="1">
        <f t="shared" si="7"/>
        <v>72.45485977718018</v>
      </c>
      <c r="G47" s="1">
        <f t="shared" si="5"/>
        <v>49.48832327473104</v>
      </c>
      <c r="H47" s="1">
        <f t="shared" si="8"/>
        <v>71.70000000000002</v>
      </c>
      <c r="I47" s="1">
        <f t="shared" si="6"/>
        <v>192.50000000000003</v>
      </c>
    </row>
    <row r="48" spans="1:9" ht="18.75" thickBot="1">
      <c r="A48" s="31" t="s">
        <v>35</v>
      </c>
      <c r="B48" s="53">
        <f>B43-B44-B47-B46-B45</f>
        <v>180.60000000000008</v>
      </c>
      <c r="C48" s="53">
        <f>C43-C44-C47-C46-C45</f>
        <v>328.60000000000014</v>
      </c>
      <c r="D48" s="53">
        <f>D43-D44-D47-D46-D45</f>
        <v>90.19999999999992</v>
      </c>
      <c r="E48" s="1">
        <f>D48/D43*100</f>
        <v>3.763822240767783</v>
      </c>
      <c r="F48" s="1">
        <f t="shared" si="7"/>
        <v>49.94462901439639</v>
      </c>
      <c r="G48" s="1">
        <f t="shared" si="5"/>
        <v>27.44978697504561</v>
      </c>
      <c r="H48" s="1">
        <f t="shared" si="8"/>
        <v>90.40000000000016</v>
      </c>
      <c r="I48" s="1">
        <f t="shared" si="6"/>
        <v>238.4000000000002</v>
      </c>
    </row>
    <row r="49" spans="1:9" ht="18.75" thickBot="1">
      <c r="A49" s="30" t="s">
        <v>4</v>
      </c>
      <c r="B49" s="55">
        <f>5506.4-7.7</f>
        <v>5498.7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282.8+343.5+104.6+27.4+31.1+70.8+315.1+27.8+66.3+5+25+425.5+95.6+8.8+334.8+43.9+50.2+364.8+68.9-0.1+79.4+50+73.4+231.6+28.9+39.3+89.2+10.3+6.7+27.5+358.6+70.2+0.2+53.9+3+100+69.1+15.3+319.6+25.2+72.3+402.7+50+64.4-0.1</f>
        <v>4932.499999999999</v>
      </c>
      <c r="E49" s="3">
        <f>D49/D134*100</f>
        <v>1.8147795351000247</v>
      </c>
      <c r="F49" s="3">
        <f>D49/B49*100</f>
        <v>89.70302071398693</v>
      </c>
      <c r="G49" s="3">
        <f t="shared" si="5"/>
        <v>40.62947892126983</v>
      </c>
      <c r="H49" s="3">
        <f>B49-D49</f>
        <v>566.2000000000007</v>
      </c>
      <c r="I49" s="3">
        <f t="shared" si="6"/>
        <v>7207.7</v>
      </c>
    </row>
    <row r="50" spans="1:9" ht="18">
      <c r="A50" s="31" t="s">
        <v>3</v>
      </c>
      <c r="B50" s="52">
        <v>3202.3</v>
      </c>
      <c r="C50" s="53">
        <f>7727-234.9</f>
        <v>7492.1</v>
      </c>
      <c r="D50" s="54">
        <f>282.8+343.5+279.8+360.5+269.9+364.8-0.1+7.2+231.6+28.9+358.6+269.6+381.2-0.1</f>
        <v>3178.2</v>
      </c>
      <c r="E50" s="1">
        <f>D50/D49*100</f>
        <v>64.4338570704511</v>
      </c>
      <c r="F50" s="1">
        <f t="shared" si="7"/>
        <v>99.24741591980762</v>
      </c>
      <c r="G50" s="1">
        <f t="shared" si="5"/>
        <v>42.42068311955259</v>
      </c>
      <c r="H50" s="1">
        <f t="shared" si="8"/>
        <v>24.100000000000364</v>
      </c>
      <c r="I50" s="1">
        <f t="shared" si="6"/>
        <v>4313.900000000001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142.7</v>
      </c>
      <c r="C52" s="53">
        <v>325</v>
      </c>
      <c r="D52" s="54">
        <f>2.4+4.2+4.2+8.7+3.1+5.2-0.1+2.3+6.7+7.1+0.1+3.9+3.5+21.5+2.5-0.1</f>
        <v>75.20000000000002</v>
      </c>
      <c r="E52" s="1">
        <f>D52/D49*100</f>
        <v>1.5245818550430823</v>
      </c>
      <c r="F52" s="1">
        <f t="shared" si="7"/>
        <v>52.69796776454101</v>
      </c>
      <c r="G52" s="1">
        <f t="shared" si="5"/>
        <v>23.138461538461545</v>
      </c>
      <c r="H52" s="1">
        <f t="shared" si="8"/>
        <v>67.49999999999997</v>
      </c>
      <c r="I52" s="1">
        <f t="shared" si="6"/>
        <v>249.79999999999998</v>
      </c>
    </row>
    <row r="53" spans="1:9" ht="18">
      <c r="A53" s="31" t="s">
        <v>0</v>
      </c>
      <c r="B53" s="52">
        <f>288.4-7.7</f>
        <v>280.7</v>
      </c>
      <c r="C53" s="53">
        <v>534.1</v>
      </c>
      <c r="D53" s="54">
        <f>6+11+5+10.4+0.1+20.8+16+0.1+76.5+39.2+7.7+0.3+8.1+0.1+0.2+12-0.1</f>
        <v>213.39999999999995</v>
      </c>
      <c r="E53" s="1">
        <f>D53/D49*100</f>
        <v>4.326406487582362</v>
      </c>
      <c r="F53" s="1">
        <f t="shared" si="7"/>
        <v>76.02422515140718</v>
      </c>
      <c r="G53" s="1">
        <f t="shared" si="5"/>
        <v>39.95506459464519</v>
      </c>
      <c r="H53" s="1">
        <f t="shared" si="8"/>
        <v>67.30000000000004</v>
      </c>
      <c r="I53" s="1">
        <f t="shared" si="6"/>
        <v>320.70000000000005</v>
      </c>
    </row>
    <row r="54" spans="1:9" ht="18.75" thickBot="1">
      <c r="A54" s="31" t="s">
        <v>35</v>
      </c>
      <c r="B54" s="53">
        <f>B49-B50-B53-B52-B51</f>
        <v>1872.9999999999995</v>
      </c>
      <c r="C54" s="53">
        <f>C49-C50-C53-C52-C51</f>
        <v>3779.2999999999984</v>
      </c>
      <c r="D54" s="53">
        <f>D49-D50-D53-D52-D51</f>
        <v>1465.6999999999994</v>
      </c>
      <c r="E54" s="1">
        <f>D54/D49*100</f>
        <v>29.715154586923457</v>
      </c>
      <c r="F54" s="1">
        <f t="shared" si="7"/>
        <v>78.25413774693004</v>
      </c>
      <c r="G54" s="1">
        <f t="shared" si="5"/>
        <v>38.78231418516657</v>
      </c>
      <c r="H54" s="1">
        <f t="shared" si="8"/>
        <v>407.3000000000002</v>
      </c>
      <c r="I54" s="1">
        <f>C54-D54</f>
        <v>2313.599999999999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f>1554.4+7.7</f>
        <v>1562.1000000000001</v>
      </c>
      <c r="C56" s="56">
        <f>3908.9-890.1</f>
        <v>3018.8</v>
      </c>
      <c r="D56" s="57">
        <f>128-60.9+102.5+11.8+75.2+16.7+4.5+87.9+0.1+68.6+30.5+35.2+2.4+30+93-9.8+0.1+1.7+68.5+10.2+1.8+24.5+103.7+27.9-0.2+10.2+8.1+67+7.8+116.4+1.9+0.1</f>
        <v>1065.4</v>
      </c>
      <c r="E56" s="3">
        <f>D56/D134*100</f>
        <v>0.3919850211242913</v>
      </c>
      <c r="F56" s="3">
        <f>D56/B56*100</f>
        <v>68.20305998335574</v>
      </c>
      <c r="G56" s="3">
        <f t="shared" si="5"/>
        <v>35.29216907380416</v>
      </c>
      <c r="H56" s="3">
        <f>B56-D56</f>
        <v>496.70000000000005</v>
      </c>
      <c r="I56" s="3">
        <f t="shared" si="6"/>
        <v>1953.4</v>
      </c>
    </row>
    <row r="57" spans="1:9" ht="18">
      <c r="A57" s="31" t="s">
        <v>3</v>
      </c>
      <c r="B57" s="52">
        <v>913.9</v>
      </c>
      <c r="C57" s="53">
        <f>2589.6-887.6</f>
        <v>1702</v>
      </c>
      <c r="D57" s="54">
        <f>128-60.9+102.5+75.2+87.9+68.6+30+93+68.5+96.9-0.1+67+116.4</f>
        <v>873</v>
      </c>
      <c r="E57" s="1">
        <f>D57/D56*100</f>
        <v>81.94105500281583</v>
      </c>
      <c r="F57" s="1">
        <f t="shared" si="7"/>
        <v>95.52467447204289</v>
      </c>
      <c r="G57" s="1">
        <f t="shared" si="5"/>
        <v>51.292596944770864</v>
      </c>
      <c r="H57" s="1">
        <f t="shared" si="8"/>
        <v>40.89999999999998</v>
      </c>
      <c r="I57" s="1">
        <f t="shared" si="6"/>
        <v>829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f>161.6-0.1</f>
        <v>161.5</v>
      </c>
      <c r="C59" s="53">
        <f>297.4-9.5</f>
        <v>287.9</v>
      </c>
      <c r="D59" s="54">
        <f>4.5+4.5+30.5+35.2+10+24.5+10.2+0.1+1.9</f>
        <v>121.4</v>
      </c>
      <c r="E59" s="1">
        <f>D59/D56*100</f>
        <v>11.394781302797071</v>
      </c>
      <c r="F59" s="1">
        <f t="shared" si="7"/>
        <v>75.1702786377709</v>
      </c>
      <c r="G59" s="1">
        <f t="shared" si="5"/>
        <v>42.16741924279264</v>
      </c>
      <c r="H59" s="1">
        <f t="shared" si="8"/>
        <v>40.099999999999994</v>
      </c>
      <c r="I59" s="1">
        <f t="shared" si="6"/>
        <v>166.49999999999997</v>
      </c>
    </row>
    <row r="60" spans="1:9" ht="18">
      <c r="A60" s="31" t="s">
        <v>15</v>
      </c>
      <c r="B60" s="52">
        <f>409.5-4</f>
        <v>405.5</v>
      </c>
      <c r="C60" s="53">
        <v>728.7</v>
      </c>
      <c r="D60" s="54"/>
      <c r="E60" s="1">
        <f>D60/D56*100</f>
        <v>0</v>
      </c>
      <c r="F60" s="118">
        <f t="shared" si="7"/>
        <v>0</v>
      </c>
      <c r="G60" s="1">
        <f t="shared" si="5"/>
        <v>0</v>
      </c>
      <c r="H60" s="1">
        <f t="shared" si="8"/>
        <v>405.5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81.20000000000016</v>
      </c>
      <c r="C61" s="53">
        <f>C56-C57-C59-C60-C58</f>
        <v>300.20000000000005</v>
      </c>
      <c r="D61" s="53">
        <f>D56-D57-D59-D60-D58</f>
        <v>71.00000000000009</v>
      </c>
      <c r="E61" s="1">
        <f>D61/D56*100</f>
        <v>6.664163694387091</v>
      </c>
      <c r="F61" s="1">
        <f t="shared" si="7"/>
        <v>87.43842364532013</v>
      </c>
      <c r="G61" s="1">
        <f t="shared" si="5"/>
        <v>23.65089940039976</v>
      </c>
      <c r="H61" s="1">
        <f t="shared" si="8"/>
        <v>10.200000000000074</v>
      </c>
      <c r="I61" s="1">
        <f t="shared" si="6"/>
        <v>229.19999999999996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184</v>
      </c>
      <c r="C66" s="56">
        <f>C67+C68</f>
        <v>460</v>
      </c>
      <c r="D66" s="57">
        <f>SUM(D67:D68)</f>
        <v>0</v>
      </c>
      <c r="E66" s="44">
        <f>D66/D134*100</f>
        <v>0</v>
      </c>
      <c r="F66" s="119">
        <f>D66/B66*100</f>
        <v>0</v>
      </c>
      <c r="G66" s="3">
        <f t="shared" si="5"/>
        <v>0</v>
      </c>
      <c r="H66" s="3">
        <f>B66-D66</f>
        <v>184</v>
      </c>
      <c r="I66" s="3">
        <f t="shared" si="6"/>
        <v>460</v>
      </c>
    </row>
    <row r="67" spans="1:9" ht="18">
      <c r="A67" s="31" t="s">
        <v>8</v>
      </c>
      <c r="B67" s="52">
        <v>109.1</v>
      </c>
      <c r="C67" s="53">
        <v>257.4</v>
      </c>
      <c r="D67" s="54"/>
      <c r="E67" s="1"/>
      <c r="F67" s="1">
        <f t="shared" si="7"/>
        <v>0</v>
      </c>
      <c r="G67" s="1">
        <f t="shared" si="5"/>
        <v>0</v>
      </c>
      <c r="H67" s="1">
        <f t="shared" si="8"/>
        <v>109.1</v>
      </c>
      <c r="I67" s="1">
        <f t="shared" si="6"/>
        <v>257.4</v>
      </c>
    </row>
    <row r="68" spans="1:9" ht="18.75" thickBot="1">
      <c r="A68" s="31" t="s">
        <v>9</v>
      </c>
      <c r="B68" s="52">
        <v>74.9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74.9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166.7</v>
      </c>
      <c r="C74" s="72">
        <v>400</v>
      </c>
      <c r="D74" s="73"/>
      <c r="E74" s="51"/>
      <c r="F74" s="51"/>
      <c r="G74" s="51"/>
      <c r="H74" s="51">
        <f>B74-D74</f>
        <v>166.7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f>20263.6+36.6</f>
        <v>20300.199999999997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</f>
        <v>18261</v>
      </c>
      <c r="E87" s="3">
        <f>D87/D134*100</f>
        <v>6.718639450676443</v>
      </c>
      <c r="F87" s="3">
        <f aca="true" t="shared" si="11" ref="F87:F92">D87/B87*100</f>
        <v>89.95477877065252</v>
      </c>
      <c r="G87" s="3">
        <f t="shared" si="9"/>
        <v>40.613393234437204</v>
      </c>
      <c r="H87" s="3">
        <f aca="true" t="shared" si="12" ref="H87:H92">B87-D87</f>
        <v>2039.199999999997</v>
      </c>
      <c r="I87" s="3">
        <f t="shared" si="10"/>
        <v>26702</v>
      </c>
    </row>
    <row r="88" spans="1:9" ht="18">
      <c r="A88" s="31" t="s">
        <v>3</v>
      </c>
      <c r="B88" s="52">
        <f>15971.5-2.8+24.2</f>
        <v>15992.900000000001</v>
      </c>
      <c r="C88" s="53">
        <f>38623.9-611.6</f>
        <v>38012.3</v>
      </c>
      <c r="D88" s="54">
        <f>3.8+55.8+877.5+206+1.6+755.1+834.4+26.6+41.3+1268.7+0.5+8.5+536.6+685.6+565+6.3-0.1+21.4+100.1+302.4+492.5+445.4+29.6+0.1+201.4+262.7+1370.2+24.4-0.1+35.6+18.8+8.4+764.2+651.1+17.3+9.9+12+37.6+3+1586.6+20.4+1318.5+14.1+1654.4</f>
        <v>15275.199999999999</v>
      </c>
      <c r="E88" s="1">
        <f>D88/D87*100</f>
        <v>83.64930726685284</v>
      </c>
      <c r="F88" s="1">
        <f t="shared" si="11"/>
        <v>95.51238362023146</v>
      </c>
      <c r="G88" s="1">
        <f t="shared" si="9"/>
        <v>40.184887523249046</v>
      </c>
      <c r="H88" s="1">
        <f t="shared" si="12"/>
        <v>717.7000000000025</v>
      </c>
      <c r="I88" s="1">
        <f t="shared" si="10"/>
        <v>22737.100000000006</v>
      </c>
    </row>
    <row r="89" spans="1:9" ht="18">
      <c r="A89" s="31" t="s">
        <v>33</v>
      </c>
      <c r="B89" s="52">
        <f>1181.2-6.5+3.5+36.5</f>
        <v>1214.7</v>
      </c>
      <c r="C89" s="53">
        <f>1866.3+51.3</f>
        <v>1917.6</v>
      </c>
      <c r="D89" s="54">
        <f>125+55.5+51.3+1.7-0.1+10.4+5.3+280.6+162.7+2.2+25.3+117.8+56.8+64.4+1.4+31</f>
        <v>991.3</v>
      </c>
      <c r="E89" s="1">
        <f>D89/D87*100</f>
        <v>5.4285088439844476</v>
      </c>
      <c r="F89" s="1">
        <f t="shared" si="11"/>
        <v>81.60862764468592</v>
      </c>
      <c r="G89" s="1">
        <f t="shared" si="9"/>
        <v>51.694826866916976</v>
      </c>
      <c r="H89" s="1">
        <f t="shared" si="12"/>
        <v>223.4000000000001</v>
      </c>
      <c r="I89" s="1">
        <f t="shared" si="10"/>
        <v>926.3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3092.599999999996</v>
      </c>
      <c r="C91" s="53">
        <f>C87-C88-C89-C90</f>
        <v>5033.099999999997</v>
      </c>
      <c r="D91" s="53">
        <f>D87-D88-D89-D90</f>
        <v>1994.5000000000011</v>
      </c>
      <c r="E91" s="1">
        <f>D91/D87*100</f>
        <v>10.922183889162703</v>
      </c>
      <c r="F91" s="1">
        <f t="shared" si="11"/>
        <v>64.49265989782073</v>
      </c>
      <c r="G91" s="1">
        <f>D91/C91*100</f>
        <v>39.62766485863588</v>
      </c>
      <c r="H91" s="1">
        <f t="shared" si="12"/>
        <v>1098.0999999999947</v>
      </c>
      <c r="I91" s="1">
        <f>C91-D91</f>
        <v>3038.599999999996</v>
      </c>
    </row>
    <row r="92" spans="1:9" ht="19.5" thickBot="1">
      <c r="A92" s="15" t="s">
        <v>12</v>
      </c>
      <c r="B92" s="64">
        <v>21054.3</v>
      </c>
      <c r="C92" s="75">
        <f>39290.3+3989.1</f>
        <v>43279.4</v>
      </c>
      <c r="D92" s="57">
        <f>2618.9+2514.7+108.2+3415.7+1160.5+185.2+4.1+84.7+287.5+200+100+150+100+100+200+100+100+200+130+350+114+133.6+100+100+42.6+152.4+200+150+76.7+100+150+250+150+100+138.2+500</f>
        <v>14567.000000000004</v>
      </c>
      <c r="E92" s="3">
        <f>D92/D134*100</f>
        <v>5.359532384754601</v>
      </c>
      <c r="F92" s="3">
        <f t="shared" si="11"/>
        <v>69.18776686947561</v>
      </c>
      <c r="G92" s="3">
        <f>D92/C92*100</f>
        <v>33.65804516698476</v>
      </c>
      <c r="H92" s="3">
        <f t="shared" si="12"/>
        <v>6487.299999999996</v>
      </c>
      <c r="I92" s="3">
        <f>C92-D92</f>
        <v>28712.399999999998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2788.8</v>
      </c>
      <c r="C98" s="110">
        <f>5290.2+873.6</f>
        <v>6163.8</v>
      </c>
      <c r="D98" s="94">
        <f>111.6+19.4+112.6-0.1+0.9+99.9+111.6+6.9+7.2+47.9+73.3+25.9+28.7+425.6+10.7+10.8+95.5+241.7+128.5+184.1+105.5+17.7+1.5+12.7+140+2.5+123.7+119.6+27+29.2+112.9</f>
        <v>2435</v>
      </c>
      <c r="E98" s="27">
        <f>D98/D134*100</f>
        <v>0.8958921779966673</v>
      </c>
      <c r="F98" s="27">
        <f>D98/B98*100</f>
        <v>87.31353987378083</v>
      </c>
      <c r="G98" s="27">
        <f aca="true" t="shared" si="13" ref="G98:G111">D98/C98*100</f>
        <v>39.504850903663325</v>
      </c>
      <c r="H98" s="27">
        <f>B98-D98</f>
        <v>353.8000000000002</v>
      </c>
      <c r="I98" s="27">
        <f aca="true" t="shared" si="14" ref="I98:I132">C98-D98</f>
        <v>3728.8</v>
      </c>
    </row>
    <row r="99" spans="1:9" ht="18">
      <c r="A99" s="95" t="s">
        <v>66</v>
      </c>
      <c r="B99" s="105">
        <f>22.5-2.3-5</f>
        <v>15.2</v>
      </c>
      <c r="C99" s="103">
        <f>23.5-2.3-6</f>
        <v>15.2</v>
      </c>
      <c r="D99" s="103">
        <f>12.7+2.5</f>
        <v>15.2</v>
      </c>
      <c r="E99" s="99">
        <f>D99/D98*100</f>
        <v>0.624229979466119</v>
      </c>
      <c r="F99" s="1">
        <f>D99/B99*100</f>
        <v>100</v>
      </c>
      <c r="G99" s="99">
        <f>D99/C99*100</f>
        <v>100</v>
      </c>
      <c r="H99" s="99">
        <f>B99-D99</f>
        <v>0</v>
      </c>
      <c r="I99" s="99">
        <f t="shared" si="14"/>
        <v>0</v>
      </c>
    </row>
    <row r="100" spans="1:9" ht="18">
      <c r="A100" s="101" t="s">
        <v>65</v>
      </c>
      <c r="B100" s="85">
        <f>2536.7-3.4-0.4+10.3+0.1</f>
        <v>2543.2999999999997</v>
      </c>
      <c r="C100" s="54">
        <f>4699.6+1.8+903.3-10.8-3+21.3+0.1</f>
        <v>5612.300000000001</v>
      </c>
      <c r="D100" s="54">
        <f>111.4+112.6+0.9+99.8+111.4+47.6+73.3-0.9+24.7+28.7+415.6+4.4+7.7+94.7+205.4+127.9+182.3+101.7+1.5+137.1+2.5+115.1+119.6+27+29+84.6-0.1</f>
        <v>2265.5000000000005</v>
      </c>
      <c r="E100" s="1">
        <f>D100/D98*100</f>
        <v>93.03901437371665</v>
      </c>
      <c r="F100" s="1">
        <f aca="true" t="shared" si="15" ref="F100:F132">D100/B100*100</f>
        <v>89.07718318719776</v>
      </c>
      <c r="G100" s="1">
        <f t="shared" si="13"/>
        <v>40.36669458154411</v>
      </c>
      <c r="H100" s="1">
        <f>B100-D100</f>
        <v>277.7999999999993</v>
      </c>
      <c r="I100" s="1">
        <f t="shared" si="14"/>
        <v>3346.8000000000006</v>
      </c>
    </row>
    <row r="101" spans="1:9" ht="18.75" thickBot="1">
      <c r="A101" s="102" t="s">
        <v>35</v>
      </c>
      <c r="B101" s="104">
        <f>B98-B99-B100</f>
        <v>230.30000000000064</v>
      </c>
      <c r="C101" s="104">
        <f>C98-C99-C100</f>
        <v>536.2999999999993</v>
      </c>
      <c r="D101" s="104">
        <f>D98-D99-D100</f>
        <v>154.29999999999973</v>
      </c>
      <c r="E101" s="100">
        <f>D101/D98*100</f>
        <v>6.336755646817236</v>
      </c>
      <c r="F101" s="100">
        <f t="shared" si="15"/>
        <v>66.99956578376</v>
      </c>
      <c r="G101" s="100">
        <f t="shared" si="13"/>
        <v>28.771210143576344</v>
      </c>
      <c r="H101" s="100">
        <f>B101-D101</f>
        <v>76.00000000000091</v>
      </c>
      <c r="I101" s="100">
        <f t="shared" si="14"/>
        <v>381.99999999999955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8936.300000000001</v>
      </c>
      <c r="C102" s="97">
        <f>SUM(C103:C131)-C110-C114+C132-C127-C128-C104-C107</f>
        <v>16857.2</v>
      </c>
      <c r="D102" s="97">
        <f>SUM(D103:D131)-D110-D114+D132-D127-D128-D104-D107</f>
        <v>5944.499999999999</v>
      </c>
      <c r="E102" s="98">
        <f>D102/D134*100</f>
        <v>2.1871174751955595</v>
      </c>
      <c r="F102" s="98">
        <f>D102/B102*100</f>
        <v>66.52081957857277</v>
      </c>
      <c r="G102" s="98">
        <f t="shared" si="13"/>
        <v>35.26386351232707</v>
      </c>
      <c r="H102" s="98">
        <f>B102-D102</f>
        <v>2991.800000000002</v>
      </c>
      <c r="I102" s="98">
        <f t="shared" si="14"/>
        <v>10912.7</v>
      </c>
    </row>
    <row r="103" spans="1:9" ht="37.5">
      <c r="A103" s="36" t="s">
        <v>69</v>
      </c>
      <c r="B103" s="82">
        <v>910.9</v>
      </c>
      <c r="C103" s="78">
        <v>1869.9</v>
      </c>
      <c r="D103" s="83">
        <f>1.4+20.1+85.2+143.2+49+97.4+39.5</f>
        <v>435.79999999999995</v>
      </c>
      <c r="E103" s="6">
        <f>D103/D102*100</f>
        <v>7.331146437883758</v>
      </c>
      <c r="F103" s="6">
        <f t="shared" si="15"/>
        <v>47.84279284224393</v>
      </c>
      <c r="G103" s="6">
        <f t="shared" si="13"/>
        <v>23.306059147547995</v>
      </c>
      <c r="H103" s="6">
        <f aca="true" t="shared" si="16" ref="H103:H132">B103-D103</f>
        <v>475.1</v>
      </c>
      <c r="I103" s="6">
        <f t="shared" si="14"/>
        <v>1434.1000000000001</v>
      </c>
    </row>
    <row r="104" spans="1:9" ht="18">
      <c r="A104" s="31" t="s">
        <v>33</v>
      </c>
      <c r="B104" s="85">
        <v>642.8</v>
      </c>
      <c r="C104" s="54">
        <f>1242.6+0.7</f>
        <v>1243.3</v>
      </c>
      <c r="D104" s="86">
        <f>1.4+85.2+143.2+49</f>
        <v>278.8</v>
      </c>
      <c r="E104" s="1"/>
      <c r="F104" s="1">
        <f t="shared" si="15"/>
        <v>43.3727442439328</v>
      </c>
      <c r="G104" s="1">
        <f t="shared" si="13"/>
        <v>22.424193678114694</v>
      </c>
      <c r="H104" s="1">
        <f t="shared" si="16"/>
        <v>363.99999999999994</v>
      </c>
      <c r="I104" s="1">
        <f t="shared" si="14"/>
        <v>964.5</v>
      </c>
    </row>
    <row r="105" spans="1:9" ht="34.5" customHeight="1">
      <c r="A105" s="19" t="s">
        <v>106</v>
      </c>
      <c r="B105" s="84">
        <v>200</v>
      </c>
      <c r="C105" s="71">
        <v>857.5</v>
      </c>
      <c r="D105" s="83"/>
      <c r="E105" s="6">
        <f>D105/D102*100</f>
        <v>0</v>
      </c>
      <c r="F105" s="6">
        <f>D105/B105*100</f>
        <v>0</v>
      </c>
      <c r="G105" s="6">
        <f t="shared" si="13"/>
        <v>0</v>
      </c>
      <c r="H105" s="6">
        <f t="shared" si="16"/>
        <v>200</v>
      </c>
      <c r="I105" s="6">
        <f t="shared" si="14"/>
        <v>857.5</v>
      </c>
    </row>
    <row r="106" spans="1:9" ht="34.5" customHeight="1">
      <c r="A106" s="19" t="s">
        <v>78</v>
      </c>
      <c r="B106" s="84">
        <v>13.2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13.2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30.9</v>
      </c>
      <c r="C108" s="71">
        <v>75.5</v>
      </c>
      <c r="D108" s="83">
        <f>5.5+5.5+5.5-0.1+5.5</f>
        <v>21.9</v>
      </c>
      <c r="E108" s="6">
        <f>D108/D102*100</f>
        <v>0.36840777188998236</v>
      </c>
      <c r="F108" s="6">
        <f t="shared" si="15"/>
        <v>70.87378640776699</v>
      </c>
      <c r="G108" s="6">
        <f t="shared" si="13"/>
        <v>29.00662251655629</v>
      </c>
      <c r="H108" s="6">
        <f t="shared" si="16"/>
        <v>9</v>
      </c>
      <c r="I108" s="6">
        <f t="shared" si="14"/>
        <v>53.6</v>
      </c>
    </row>
    <row r="109" spans="1:9" ht="37.5">
      <c r="A109" s="19" t="s">
        <v>47</v>
      </c>
      <c r="B109" s="84">
        <v>462.3</v>
      </c>
      <c r="C109" s="71">
        <v>1050</v>
      </c>
      <c r="D109" s="83">
        <f>149.7+2.5+4.1+81.3+2.1+67.3+8+8.2</f>
        <v>323.19999999999993</v>
      </c>
      <c r="E109" s="6">
        <f>D109/D102*100</f>
        <v>5.436958533097822</v>
      </c>
      <c r="F109" s="6">
        <f t="shared" si="15"/>
        <v>69.9113130002163</v>
      </c>
      <c r="G109" s="6">
        <f t="shared" si="13"/>
        <v>30.780952380952375</v>
      </c>
      <c r="H109" s="6">
        <f t="shared" si="16"/>
        <v>139.10000000000008</v>
      </c>
      <c r="I109" s="6">
        <f t="shared" si="14"/>
        <v>726.8000000000001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22.9</v>
      </c>
      <c r="C111" s="63">
        <f>51.6+22.9</f>
        <v>74.5</v>
      </c>
      <c r="D111" s="87">
        <f>22.9</f>
        <v>22.9</v>
      </c>
      <c r="E111" s="21">
        <f>D111/D102*100</f>
        <v>0.38523004457902266</v>
      </c>
      <c r="F111" s="21"/>
      <c r="G111" s="21">
        <f t="shared" si="13"/>
        <v>30.738255033557042</v>
      </c>
      <c r="H111" s="21">
        <f t="shared" si="16"/>
        <v>0</v>
      </c>
      <c r="I111" s="21">
        <f t="shared" si="14"/>
        <v>51.6</v>
      </c>
    </row>
    <row r="112" spans="1:9" ht="37.5">
      <c r="A112" s="19" t="s">
        <v>60</v>
      </c>
      <c r="B112" s="84">
        <v>178.6</v>
      </c>
      <c r="C112" s="71">
        <f>488.6-250</f>
        <v>238.60000000000002</v>
      </c>
      <c r="D112" s="83">
        <f>4.9+70</f>
        <v>74.9</v>
      </c>
      <c r="E112" s="6">
        <f>D112/D102*100</f>
        <v>1.2599882244091178</v>
      </c>
      <c r="F112" s="6">
        <f>D112/B112*100</f>
        <v>41.937290033594635</v>
      </c>
      <c r="G112" s="6">
        <f aca="true" t="shared" si="17" ref="G112:G132">D112/C112*100</f>
        <v>31.391450125733446</v>
      </c>
      <c r="H112" s="6">
        <f t="shared" si="16"/>
        <v>103.69999999999999</v>
      </c>
      <c r="I112" s="6">
        <f t="shared" si="14"/>
        <v>163.70000000000002</v>
      </c>
    </row>
    <row r="113" spans="1:9" s="2" customFormat="1" ht="18.75">
      <c r="A113" s="19" t="s">
        <v>16</v>
      </c>
      <c r="B113" s="84">
        <v>80.5</v>
      </c>
      <c r="C113" s="63">
        <v>153.4</v>
      </c>
      <c r="D113" s="83">
        <f>13.5+13.4+14.3+0.8+6.9+0.4+13.5-0.1+0.8+0.5+2+13.5-0.1</f>
        <v>79.4</v>
      </c>
      <c r="E113" s="6">
        <f>D113/D102*100</f>
        <v>1.3356884515097993</v>
      </c>
      <c r="F113" s="6">
        <f t="shared" si="15"/>
        <v>98.63354037267081</v>
      </c>
      <c r="G113" s="6">
        <f t="shared" si="17"/>
        <v>51.76010430247718</v>
      </c>
      <c r="H113" s="6">
        <f t="shared" si="16"/>
        <v>1.0999999999999943</v>
      </c>
      <c r="I113" s="6">
        <f t="shared" si="14"/>
        <v>74</v>
      </c>
    </row>
    <row r="114" spans="1:9" s="41" customFormat="1" ht="18">
      <c r="A114" s="42" t="s">
        <v>54</v>
      </c>
      <c r="B114" s="85">
        <v>67.3</v>
      </c>
      <c r="C114" s="54">
        <v>121.2</v>
      </c>
      <c r="D114" s="86">
        <f>13.5+13.4+13.5+13.5+13.4</f>
        <v>67.3</v>
      </c>
      <c r="E114" s="1"/>
      <c r="F114" s="1">
        <f t="shared" si="15"/>
        <v>100</v>
      </c>
      <c r="G114" s="1">
        <f t="shared" si="17"/>
        <v>55.528052805280524</v>
      </c>
      <c r="H114" s="1">
        <f t="shared" si="16"/>
        <v>0</v>
      </c>
      <c r="I114" s="1">
        <f t="shared" si="14"/>
        <v>53.900000000000006</v>
      </c>
    </row>
    <row r="115" spans="1:9" s="2" customFormat="1" ht="18.75">
      <c r="A115" s="19" t="s">
        <v>25</v>
      </c>
      <c r="B115" s="84">
        <v>0</v>
      </c>
      <c r="C115" s="63">
        <f>86.7+250</f>
        <v>336.7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0</v>
      </c>
      <c r="I115" s="6">
        <f t="shared" si="14"/>
        <v>336.7</v>
      </c>
    </row>
    <row r="116" spans="1:9" s="2" customFormat="1" ht="21.75" customHeight="1">
      <c r="A116" s="19" t="s">
        <v>45</v>
      </c>
      <c r="B116" s="84">
        <v>82.7</v>
      </c>
      <c r="C116" s="63">
        <v>94.7</v>
      </c>
      <c r="D116" s="87">
        <f>16.2+3.7</f>
        <v>19.9</v>
      </c>
      <c r="E116" s="21">
        <f>D116/D102*100</f>
        <v>0.3347632265119018</v>
      </c>
      <c r="F116" s="6">
        <f t="shared" si="15"/>
        <v>24.062877871825876</v>
      </c>
      <c r="G116" s="6">
        <f t="shared" si="17"/>
        <v>21.013727560718053</v>
      </c>
      <c r="H116" s="6">
        <f t="shared" si="16"/>
        <v>62.800000000000004</v>
      </c>
      <c r="I116" s="6">
        <f t="shared" si="14"/>
        <v>74.80000000000001</v>
      </c>
    </row>
    <row r="117" spans="1:9" s="2" customFormat="1" ht="37.5">
      <c r="A117" s="19" t="s">
        <v>49</v>
      </c>
      <c r="B117" s="84">
        <v>1484.7</v>
      </c>
      <c r="C117" s="63">
        <v>1700.1</v>
      </c>
      <c r="D117" s="87">
        <f>196.6+25+11.8+12.7+6.1</f>
        <v>252.2</v>
      </c>
      <c r="E117" s="21">
        <f>D117/D102*100</f>
        <v>4.242577172175961</v>
      </c>
      <c r="F117" s="6">
        <f t="shared" si="15"/>
        <v>16.986596618845557</v>
      </c>
      <c r="G117" s="6">
        <f t="shared" si="17"/>
        <v>14.834421504617376</v>
      </c>
      <c r="H117" s="6">
        <f t="shared" si="16"/>
        <v>1232.5</v>
      </c>
      <c r="I117" s="6">
        <f t="shared" si="14"/>
        <v>1447.8999999999999</v>
      </c>
    </row>
    <row r="118" spans="1:9" s="2" customFormat="1" ht="56.25">
      <c r="A118" s="19" t="s">
        <v>56</v>
      </c>
      <c r="B118" s="84">
        <f>127.3-13</f>
        <v>114.3</v>
      </c>
      <c r="C118" s="63">
        <f>157.1+1.2</f>
        <v>158.29999999999998</v>
      </c>
      <c r="D118" s="87">
        <f>3.8</f>
        <v>3.8</v>
      </c>
      <c r="E118" s="21">
        <f>D118/D102*100</f>
        <v>0.0639246362183531</v>
      </c>
      <c r="F118" s="6">
        <f t="shared" si="15"/>
        <v>3.3245844269466316</v>
      </c>
      <c r="G118" s="6">
        <f t="shared" si="17"/>
        <v>2.4005053695514844</v>
      </c>
      <c r="H118" s="6">
        <f t="shared" si="16"/>
        <v>110.5</v>
      </c>
      <c r="I118" s="6">
        <f t="shared" si="14"/>
        <v>154.49999999999997</v>
      </c>
    </row>
    <row r="119" spans="1:9" s="2" customFormat="1" ht="57" customHeight="1" hidden="1">
      <c r="A119" s="19" t="s">
        <v>73</v>
      </c>
      <c r="B119" s="84"/>
      <c r="C119" s="63"/>
      <c r="D119" s="87"/>
      <c r="E119" s="21">
        <f>D119/D102*100</f>
        <v>0</v>
      </c>
      <c r="F119" s="6" t="e">
        <f t="shared" si="15"/>
        <v>#DIV/0!</v>
      </c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>
        <f>16.8+4.6</f>
        <v>21.4</v>
      </c>
      <c r="E120" s="21">
        <f>D120/D102*100</f>
        <v>0.35999663554546224</v>
      </c>
      <c r="F120" s="6">
        <f t="shared" si="15"/>
        <v>42.8</v>
      </c>
      <c r="G120" s="6">
        <f t="shared" si="17"/>
        <v>42.8</v>
      </c>
      <c r="H120" s="6">
        <f t="shared" si="16"/>
        <v>28.6</v>
      </c>
      <c r="I120" s="6">
        <f t="shared" si="14"/>
        <v>28.6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>
        <f>18.3</f>
        <v>18.3</v>
      </c>
      <c r="E121" s="21">
        <f>D121/D102*100</f>
        <v>0.30784759020943736</v>
      </c>
      <c r="F121" s="6">
        <f t="shared" si="15"/>
        <v>21.605667060212514</v>
      </c>
      <c r="G121" s="6">
        <f t="shared" si="17"/>
        <v>21.605667060212514</v>
      </c>
      <c r="H121" s="6">
        <f t="shared" si="16"/>
        <v>66.4</v>
      </c>
      <c r="I121" s="6">
        <f t="shared" si="14"/>
        <v>66.4</v>
      </c>
    </row>
    <row r="122" spans="1:9" s="2" customFormat="1" ht="18.75">
      <c r="A122" s="19" t="s">
        <v>75</v>
      </c>
      <c r="B122" s="84">
        <f>59.7+6.2+13</f>
        <v>78.9</v>
      </c>
      <c r="C122" s="63">
        <v>178.8</v>
      </c>
      <c r="D122" s="87">
        <f>7.2+1.4+9.3+6.8+7.7+4.3+1.8</f>
        <v>38.49999999999999</v>
      </c>
      <c r="E122" s="21">
        <f>D122/D102*100</f>
        <v>0.6476574985280511</v>
      </c>
      <c r="F122" s="6">
        <f t="shared" si="15"/>
        <v>48.795944233206576</v>
      </c>
      <c r="G122" s="6">
        <f t="shared" si="17"/>
        <v>21.5324384787472</v>
      </c>
      <c r="H122" s="6">
        <f t="shared" si="16"/>
        <v>40.40000000000001</v>
      </c>
      <c r="I122" s="6">
        <f t="shared" si="14"/>
        <v>140.3</v>
      </c>
    </row>
    <row r="123" spans="1:9" s="2" customFormat="1" ht="35.25" customHeight="1">
      <c r="A123" s="19" t="s">
        <v>74</v>
      </c>
      <c r="B123" s="84">
        <v>14.5</v>
      </c>
      <c r="C123" s="63">
        <v>67.6</v>
      </c>
      <c r="D123" s="87">
        <f>0.5+1.5+0.1</f>
        <v>2.1</v>
      </c>
      <c r="E123" s="21">
        <f>D123/D102*100</f>
        <v>0.03532677264698461</v>
      </c>
      <c r="F123" s="6">
        <f t="shared" si="15"/>
        <v>14.482758620689657</v>
      </c>
      <c r="G123" s="6">
        <f t="shared" si="17"/>
        <v>3.106508875739645</v>
      </c>
      <c r="H123" s="6">
        <f t="shared" si="16"/>
        <v>12.4</v>
      </c>
      <c r="I123" s="6">
        <f t="shared" si="14"/>
        <v>65.5</v>
      </c>
    </row>
    <row r="124" spans="1:9" s="2" customFormat="1" ht="35.25" customHeight="1">
      <c r="A124" s="19" t="s">
        <v>76</v>
      </c>
      <c r="B124" s="84">
        <f>60-6.2</f>
        <v>53.8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53.8</v>
      </c>
      <c r="I124" s="6">
        <f t="shared" si="14"/>
        <v>60</v>
      </c>
    </row>
    <row r="125" spans="1:9" s="2" customFormat="1" ht="18.75">
      <c r="A125" s="19" t="s">
        <v>101</v>
      </c>
      <c r="B125" s="84">
        <v>45.4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45.4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364.2</v>
      </c>
      <c r="C126" s="63">
        <v>868.2</v>
      </c>
      <c r="D126" s="87">
        <f>21.4+1.2+34.6+22.6+3.4+31.2+5.1+22.6+3+44.8+0.2+32.7+27.3+30.6+3.7+29.7+4.3+33.6+0.1+0.1</f>
        <v>352.2000000000001</v>
      </c>
      <c r="E126" s="21">
        <f>D126/D102*100</f>
        <v>5.924804441079993</v>
      </c>
      <c r="F126" s="6">
        <f t="shared" si="15"/>
        <v>96.7051070840198</v>
      </c>
      <c r="G126" s="6">
        <f t="shared" si="17"/>
        <v>40.56668970283346</v>
      </c>
      <c r="H126" s="6">
        <f t="shared" si="16"/>
        <v>11.999999999999886</v>
      </c>
      <c r="I126" s="6">
        <f t="shared" si="14"/>
        <v>516</v>
      </c>
    </row>
    <row r="127" spans="1:9" s="41" customFormat="1" ht="18">
      <c r="A127" s="42" t="s">
        <v>54</v>
      </c>
      <c r="B127" s="85">
        <v>305.3</v>
      </c>
      <c r="C127" s="54">
        <v>747.1</v>
      </c>
      <c r="D127" s="86">
        <f>21.4+1.2+34.6+22.6+31.2+22.6+44.8+0.2+32.7+30.6+29.7+33.6</f>
        <v>305.20000000000005</v>
      </c>
      <c r="E127" s="1">
        <f>D127/D126*100</f>
        <v>86.65530948324815</v>
      </c>
      <c r="F127" s="1">
        <f>D127/B127*100</f>
        <v>99.96724533245988</v>
      </c>
      <c r="G127" s="1">
        <f t="shared" si="17"/>
        <v>40.85129166108955</v>
      </c>
      <c r="H127" s="1">
        <f t="shared" si="16"/>
        <v>0.0999999999999659</v>
      </c>
      <c r="I127" s="1">
        <f t="shared" si="14"/>
        <v>441.9</v>
      </c>
    </row>
    <row r="128" spans="1:9" s="41" customFormat="1" ht="18">
      <c r="A128" s="31" t="s">
        <v>33</v>
      </c>
      <c r="B128" s="85">
        <v>15.5</v>
      </c>
      <c r="C128" s="54">
        <v>27.4</v>
      </c>
      <c r="D128" s="86">
        <f>3.4+3+2.7+1.6-0.1</f>
        <v>10.600000000000001</v>
      </c>
      <c r="E128" s="1">
        <f>D128/D126*100</f>
        <v>3.009653605905735</v>
      </c>
      <c r="F128" s="1">
        <f>D128/B128*100</f>
        <v>68.38709677419355</v>
      </c>
      <c r="G128" s="1">
        <f>D128/C128*100</f>
        <v>38.68613138686132</v>
      </c>
      <c r="H128" s="1">
        <f t="shared" si="16"/>
        <v>4.899999999999999</v>
      </c>
      <c r="I128" s="1">
        <f t="shared" si="14"/>
        <v>16.799999999999997</v>
      </c>
    </row>
    <row r="129" spans="1:9" s="2" customFormat="1" ht="18.75">
      <c r="A129" s="19" t="s">
        <v>27</v>
      </c>
      <c r="B129" s="84">
        <v>4188</v>
      </c>
      <c r="C129" s="63">
        <v>8376</v>
      </c>
      <c r="D129" s="87">
        <f>1513.1+580.9+2094</f>
        <v>4188</v>
      </c>
      <c r="E129" s="21">
        <f>D129/D102*100</f>
        <v>70.45167802170074</v>
      </c>
      <c r="F129" s="6">
        <f t="shared" si="15"/>
        <v>100</v>
      </c>
      <c r="G129" s="6">
        <f t="shared" si="17"/>
        <v>50</v>
      </c>
      <c r="H129" s="6">
        <f t="shared" si="16"/>
        <v>0</v>
      </c>
      <c r="I129" s="6">
        <f t="shared" si="14"/>
        <v>4188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>
        <f>90</f>
        <v>90</v>
      </c>
      <c r="E130" s="21">
        <f>D130/D102*100</f>
        <v>1.514004542013626</v>
      </c>
      <c r="F130" s="120">
        <f>D130/B130*100</f>
        <v>18.915510718789406</v>
      </c>
      <c r="G130" s="6">
        <f t="shared" si="17"/>
        <v>18.915510718789406</v>
      </c>
      <c r="H130" s="6">
        <f t="shared" si="16"/>
        <v>385.8</v>
      </c>
      <c r="I130" s="6">
        <f t="shared" si="14"/>
        <v>385.8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12575.7</v>
      </c>
      <c r="C133" s="88">
        <f>C41+C66+C69+C74+C76+C84+C98+C102+C96+C81+C94</f>
        <v>25001.600000000002</v>
      </c>
      <c r="D133" s="63">
        <f>D41+D66+D69+D74+D76+D84+D98+D102+D96+D81+D94</f>
        <v>8620.599999999999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306320.19999999995</v>
      </c>
      <c r="C134" s="57">
        <f>C6+C17+C31+C41+C49+C56+C66+C69+C74+C76+C84+C87+C92+C98+C102+C96+C81+C94+C43</f>
        <v>624159.9</v>
      </c>
      <c r="D134" s="57">
        <f>D6+D17+D31+D41+D49+D56+D66+D69+D74+D76+D84+D87+D92+D98+D102+D96+D81+D94+D43</f>
        <v>271796.10000000003</v>
      </c>
      <c r="E134" s="40">
        <v>100</v>
      </c>
      <c r="F134" s="3">
        <f>D134/B134*100</f>
        <v>88.72940798550016</v>
      </c>
      <c r="G134" s="3">
        <f aca="true" t="shared" si="18" ref="G134:G140">D134/C134*100</f>
        <v>43.545908668595985</v>
      </c>
      <c r="H134" s="3">
        <f aca="true" t="shared" si="19" ref="H134:H140">B134-D134</f>
        <v>34524.09999999992</v>
      </c>
      <c r="I134" s="3">
        <f aca="true" t="shared" si="20" ref="I134:I140">C134-D134</f>
        <v>352363.8</v>
      </c>
      <c r="K134" s="49"/>
      <c r="L134" s="50"/>
    </row>
    <row r="135" spans="1:12" ht="18.75">
      <c r="A135" s="25" t="s">
        <v>5</v>
      </c>
      <c r="B135" s="70">
        <f>B7+B18+B32+B50+B57+B88+B110+B114+B44+B127</f>
        <v>205370.09999999995</v>
      </c>
      <c r="C135" s="70">
        <f>C7+C18+C32+C50+C57+C88+C110+C114+C44+C127</f>
        <v>430257.9</v>
      </c>
      <c r="D135" s="70">
        <f>D7+D18+D32+D50+D57+D88+D110+D114+D44+D127</f>
        <v>199047.5</v>
      </c>
      <c r="E135" s="6">
        <f>D135/D134*100</f>
        <v>73.23412661182408</v>
      </c>
      <c r="F135" s="6">
        <f aca="true" t="shared" si="21" ref="F135:F146">D135/B135*100</f>
        <v>96.92136294426503</v>
      </c>
      <c r="G135" s="6">
        <f t="shared" si="18"/>
        <v>46.26236961599078</v>
      </c>
      <c r="H135" s="6">
        <f t="shared" si="19"/>
        <v>6322.599999999948</v>
      </c>
      <c r="I135" s="20">
        <f t="shared" si="20"/>
        <v>231210.40000000002</v>
      </c>
      <c r="K135" s="49"/>
      <c r="L135" s="50"/>
    </row>
    <row r="136" spans="1:12" ht="18.75">
      <c r="A136" s="25" t="s">
        <v>0</v>
      </c>
      <c r="B136" s="71">
        <f>B10+B21+B34+B53+B59+B89+B47+B128+B104+B107</f>
        <v>36924.5</v>
      </c>
      <c r="C136" s="71">
        <f>C10+C21+C34+C53+C59+C89+C47+C128+C104+C107</f>
        <v>64923.7</v>
      </c>
      <c r="D136" s="71">
        <f>D10+D21+D34+D53+D59+D89+D47+D128+D104+D107</f>
        <v>26396.699999999997</v>
      </c>
      <c r="E136" s="6">
        <f>D136/D134*100</f>
        <v>9.71194950920929</v>
      </c>
      <c r="F136" s="6">
        <f t="shared" si="21"/>
        <v>71.48830722149249</v>
      </c>
      <c r="G136" s="6">
        <f t="shared" si="18"/>
        <v>40.658033969105276</v>
      </c>
      <c r="H136" s="6">
        <f t="shared" si="19"/>
        <v>10527.800000000003</v>
      </c>
      <c r="I136" s="20">
        <f t="shared" si="20"/>
        <v>38527</v>
      </c>
      <c r="K136" s="49"/>
      <c r="L136" s="106"/>
    </row>
    <row r="137" spans="1:12" ht="18.75">
      <c r="A137" s="25" t="s">
        <v>1</v>
      </c>
      <c r="B137" s="70">
        <f>B20+B9+B52+B46+B58+B33+B99</f>
        <v>9553.4</v>
      </c>
      <c r="C137" s="70">
        <f>C20+C9+C52+C46+C58+C33+C99</f>
        <v>20315.6</v>
      </c>
      <c r="D137" s="70">
        <f>D20+D9+D52+D46+D58+D33+D99</f>
        <v>8983</v>
      </c>
      <c r="E137" s="6">
        <f>D137/D134*100</f>
        <v>3.305051102646432</v>
      </c>
      <c r="F137" s="6">
        <f t="shared" si="21"/>
        <v>94.02935080704252</v>
      </c>
      <c r="G137" s="6">
        <f t="shared" si="18"/>
        <v>44.21725176711493</v>
      </c>
      <c r="H137" s="6">
        <f t="shared" si="19"/>
        <v>570.3999999999996</v>
      </c>
      <c r="I137" s="20">
        <f t="shared" si="20"/>
        <v>11332.599999999999</v>
      </c>
      <c r="K137" s="49"/>
      <c r="L137" s="50"/>
    </row>
    <row r="138" spans="1:12" ht="21" customHeight="1">
      <c r="A138" s="25" t="s">
        <v>15</v>
      </c>
      <c r="B138" s="70">
        <f>B11+B22+B100+B60+B36+B90</f>
        <v>3787.2999999999997</v>
      </c>
      <c r="C138" s="70">
        <f>C11+C22+C100+C60+C36+C90</f>
        <v>8036.500000000001</v>
      </c>
      <c r="D138" s="70">
        <f>D11+D22+D100+D60+D36+D90</f>
        <v>3054.1000000000004</v>
      </c>
      <c r="E138" s="6">
        <f>D138/D134*100</f>
        <v>1.1236732241559022</v>
      </c>
      <c r="F138" s="6">
        <f t="shared" si="21"/>
        <v>80.64056187785495</v>
      </c>
      <c r="G138" s="6">
        <f t="shared" si="18"/>
        <v>38.00286194238785</v>
      </c>
      <c r="H138" s="6">
        <f t="shared" si="19"/>
        <v>733.1999999999994</v>
      </c>
      <c r="I138" s="20">
        <f t="shared" si="20"/>
        <v>4982.400000000001</v>
      </c>
      <c r="K138" s="49"/>
      <c r="L138" s="106"/>
    </row>
    <row r="139" spans="1:12" ht="18.75">
      <c r="A139" s="25" t="s">
        <v>2</v>
      </c>
      <c r="B139" s="70">
        <f>B8+B19+B45+B51</f>
        <v>3436.6</v>
      </c>
      <c r="C139" s="70">
        <f>C8+C19+C45+C51</f>
        <v>7873.900000000001</v>
      </c>
      <c r="D139" s="70">
        <f>D8+D19+D45+D51</f>
        <v>1769.2999999999995</v>
      </c>
      <c r="E139" s="6">
        <f>D139/D134*100</f>
        <v>0.6509659262954838</v>
      </c>
      <c r="F139" s="6">
        <f t="shared" si="21"/>
        <v>51.48402490833962</v>
      </c>
      <c r="G139" s="6">
        <f t="shared" si="18"/>
        <v>22.47044031547263</v>
      </c>
      <c r="H139" s="6">
        <f t="shared" si="19"/>
        <v>1667.3000000000004</v>
      </c>
      <c r="I139" s="20">
        <f t="shared" si="20"/>
        <v>6104.600000000001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47248.3</v>
      </c>
      <c r="C140" s="70">
        <f>C134-C135-C136-C137-C138-C139</f>
        <v>92752.30000000002</v>
      </c>
      <c r="D140" s="70">
        <f>D134-D135-D136-D137-D138-D139</f>
        <v>32545.50000000004</v>
      </c>
      <c r="E140" s="6">
        <f>D140/D134*100</f>
        <v>11.974233625868818</v>
      </c>
      <c r="F140" s="6">
        <f t="shared" si="21"/>
        <v>68.88184336790961</v>
      </c>
      <c r="G140" s="46">
        <f t="shared" si="18"/>
        <v>35.088617748562605</v>
      </c>
      <c r="H140" s="6">
        <f t="shared" si="19"/>
        <v>14702.799999999963</v>
      </c>
      <c r="I140" s="6">
        <f t="shared" si="20"/>
        <v>60206.799999999974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f>1880+1018.6+12561.6-300</f>
        <v>15160.2</v>
      </c>
      <c r="C142" s="77">
        <v>77971.6</v>
      </c>
      <c r="D142" s="77">
        <f>1285.7+343.1+251.2+535+4+1250.9</f>
        <v>3669.9</v>
      </c>
      <c r="E142" s="16"/>
      <c r="F142" s="6">
        <f t="shared" si="21"/>
        <v>24.207464281473857</v>
      </c>
      <c r="G142" s="6">
        <f aca="true" t="shared" si="22" ref="G142:G151">D142/C142*100</f>
        <v>4.706713726536329</v>
      </c>
      <c r="H142" s="6">
        <f>B142-D142</f>
        <v>11490.300000000001</v>
      </c>
      <c r="I142" s="6">
        <f aca="true" t="shared" si="23" ref="I142:I151">C142-D142</f>
        <v>74301.70000000001</v>
      </c>
      <c r="J142" s="109"/>
      <c r="K142" s="49"/>
      <c r="L142" s="49"/>
    </row>
    <row r="143" spans="1:12" ht="18.75">
      <c r="A143" s="25" t="s">
        <v>22</v>
      </c>
      <c r="B143" s="92">
        <f>65+10767.3+300</f>
        <v>11132.3</v>
      </c>
      <c r="C143" s="70">
        <f>23644.2-130</f>
        <v>23514.2</v>
      </c>
      <c r="D143" s="70">
        <f>2921.3+155.4+1707.9</f>
        <v>4784.6</v>
      </c>
      <c r="E143" s="6"/>
      <c r="F143" s="6">
        <f t="shared" si="21"/>
        <v>42.979438211331</v>
      </c>
      <c r="G143" s="6">
        <f t="shared" si="22"/>
        <v>20.34770479114748</v>
      </c>
      <c r="H143" s="6">
        <f aca="true" t="shared" si="24" ref="H143:H150">B143-D143</f>
        <v>6347.699999999999</v>
      </c>
      <c r="I143" s="6">
        <f t="shared" si="23"/>
        <v>18729.6</v>
      </c>
      <c r="K143" s="49"/>
      <c r="L143" s="49"/>
    </row>
    <row r="144" spans="1:12" ht="18.75">
      <c r="A144" s="25" t="s">
        <v>63</v>
      </c>
      <c r="B144" s="92">
        <f>12701.5+8595.2-5500+5086.9+1643+100</f>
        <v>22626.6</v>
      </c>
      <c r="C144" s="70">
        <f>109130.7-6200+130</f>
        <v>103060.7</v>
      </c>
      <c r="D144" s="70">
        <f>6096.5+112.1+30.9+1603.7+825.7-185.6+11.1+170.9+380.2+5.4+65.1+200.4+74.5+498.5+120.7+76.5+8.2+81</f>
        <v>10175.800000000001</v>
      </c>
      <c r="E144" s="6"/>
      <c r="F144" s="6">
        <f t="shared" si="21"/>
        <v>44.97273121016857</v>
      </c>
      <c r="G144" s="6">
        <f t="shared" si="22"/>
        <v>9.873598762670932</v>
      </c>
      <c r="H144" s="6">
        <f t="shared" si="24"/>
        <v>12450.799999999997</v>
      </c>
      <c r="I144" s="6">
        <f t="shared" si="23"/>
        <v>92884.9</v>
      </c>
      <c r="K144" s="49"/>
      <c r="L144" s="49"/>
    </row>
    <row r="145" spans="1:12" ht="37.5">
      <c r="A145" s="25" t="s">
        <v>72</v>
      </c>
      <c r="B145" s="92">
        <v>5500</v>
      </c>
      <c r="C145" s="70">
        <v>6200</v>
      </c>
      <c r="D145" s="70">
        <v>5500</v>
      </c>
      <c r="E145" s="6"/>
      <c r="F145" s="6">
        <f t="shared" si="21"/>
        <v>100</v>
      </c>
      <c r="G145" s="6">
        <f t="shared" si="22"/>
        <v>88.70967741935483</v>
      </c>
      <c r="H145" s="6">
        <f t="shared" si="24"/>
        <v>0</v>
      </c>
      <c r="I145" s="6">
        <f t="shared" si="23"/>
        <v>700</v>
      </c>
      <c r="K145" s="49"/>
      <c r="L145" s="49"/>
    </row>
    <row r="146" spans="1:12" ht="18.75">
      <c r="A146" s="25" t="s">
        <v>13</v>
      </c>
      <c r="B146" s="92">
        <v>6612.9</v>
      </c>
      <c r="C146" s="70">
        <f>8750.7+10716.7</f>
        <v>19467.4</v>
      </c>
      <c r="D146" s="70">
        <f>1079.6+99+23+18.9+98+142.5+46.8+99.4+162.7+67+248.3+33.5+121.9</f>
        <v>2240.6000000000004</v>
      </c>
      <c r="E146" s="21"/>
      <c r="F146" s="6">
        <f t="shared" si="21"/>
        <v>33.88226043037095</v>
      </c>
      <c r="G146" s="6">
        <f t="shared" si="22"/>
        <v>11.509497929872506</v>
      </c>
      <c r="H146" s="6">
        <f t="shared" si="24"/>
        <v>4372.299999999999</v>
      </c>
      <c r="I146" s="6">
        <f t="shared" si="23"/>
        <v>17226.800000000003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588.9</v>
      </c>
      <c r="C148" s="70">
        <f>790+361.2</f>
        <v>1151.2</v>
      </c>
      <c r="D148" s="70">
        <f>371+201.4</f>
        <v>572.4</v>
      </c>
      <c r="E148" s="21"/>
      <c r="F148" s="6">
        <f>D148/B148*100</f>
        <v>97.19816607233825</v>
      </c>
      <c r="G148" s="6">
        <f t="shared" si="22"/>
        <v>49.722029186935366</v>
      </c>
      <c r="H148" s="6">
        <f t="shared" si="24"/>
        <v>16.5</v>
      </c>
      <c r="I148" s="6">
        <f t="shared" si="23"/>
        <v>578.8000000000001</v>
      </c>
    </row>
    <row r="149" spans="1:9" ht="19.5" customHeight="1">
      <c r="A149" s="25" t="s">
        <v>70</v>
      </c>
      <c r="B149" s="92">
        <v>1678.3</v>
      </c>
      <c r="C149" s="70">
        <v>1945.7</v>
      </c>
      <c r="D149" s="70">
        <f>1118.3</f>
        <v>1118.3</v>
      </c>
      <c r="E149" s="21"/>
      <c r="F149" s="6">
        <f>D149/B149*100</f>
        <v>66.63290234165524</v>
      </c>
      <c r="G149" s="6">
        <f t="shared" si="22"/>
        <v>57.47545870380839</v>
      </c>
      <c r="H149" s="6">
        <f t="shared" si="24"/>
        <v>560</v>
      </c>
      <c r="I149" s="6">
        <f t="shared" si="23"/>
        <v>827.4000000000001</v>
      </c>
    </row>
    <row r="150" spans="1:9" ht="19.5" thickBot="1">
      <c r="A150" s="25" t="s">
        <v>64</v>
      </c>
      <c r="B150" s="92">
        <f>1132.6+105.1+349.5+3417.7</f>
        <v>5004.9</v>
      </c>
      <c r="C150" s="93">
        <f>3939.6+4926.7</f>
        <v>8866.3</v>
      </c>
      <c r="D150" s="93">
        <f>95.1+9.9+65+49.9+275.1+44.8</f>
        <v>539.8</v>
      </c>
      <c r="E150" s="26"/>
      <c r="F150" s="6">
        <f>D150/B150*100</f>
        <v>10.785430278327238</v>
      </c>
      <c r="G150" s="6">
        <f t="shared" si="22"/>
        <v>6.088221693378298</v>
      </c>
      <c r="H150" s="6">
        <f t="shared" si="24"/>
        <v>4465.099999999999</v>
      </c>
      <c r="I150" s="6">
        <f t="shared" si="23"/>
        <v>8326.5</v>
      </c>
    </row>
    <row r="151" spans="1:9" ht="19.5" thickBot="1">
      <c r="A151" s="15" t="s">
        <v>20</v>
      </c>
      <c r="B151" s="94">
        <f>B134+B142+B146+B147+B143+B150+B149+B144+B148+B145</f>
        <v>374624.3</v>
      </c>
      <c r="C151" s="94">
        <f>C134+C142+C146+C147+C143+C150+C149+C144+C148+C145</f>
        <v>866336.9999999999</v>
      </c>
      <c r="D151" s="94">
        <f>D134+D142+D146+D147+D143+D150+D149+D144+D148+D145</f>
        <v>300397.5</v>
      </c>
      <c r="E151" s="27"/>
      <c r="F151" s="3">
        <f>D151/B151*100</f>
        <v>80.18633601717775</v>
      </c>
      <c r="G151" s="3">
        <f t="shared" si="22"/>
        <v>34.67443962337982</v>
      </c>
      <c r="H151" s="3">
        <f>B151-D151</f>
        <v>74226.79999999999</v>
      </c>
      <c r="I151" s="3">
        <f t="shared" si="23"/>
        <v>565939.4999999999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32" sqref="Q3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271796.10000000003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9" sqref="N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9" sqref="Q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38" sqref="R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4" sqref="R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6" sqref="Q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8" sqref="Q28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6" sqref="R2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271796.10000000003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2014-05-05T07:03:12Z</cp:lastPrinted>
  <dcterms:created xsi:type="dcterms:W3CDTF">2000-06-20T04:48:00Z</dcterms:created>
  <dcterms:modified xsi:type="dcterms:W3CDTF">2014-06-02T06:04:10Z</dcterms:modified>
  <cp:category/>
  <cp:version/>
  <cp:contentType/>
  <cp:contentStatus/>
</cp:coreProperties>
</file>